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AGS\13 Soziales\13_08 Kinderbetreuung\03 Projekte\01 Laufend\Kinderbeteuungsverordnung\Beitragsrechner\"/>
    </mc:Choice>
  </mc:AlternateContent>
  <workbookProtection workbookAlgorithmName="SHA-512" workbookHashValue="j/xxZbd8REpd3PpD/6bxvJJVwIEnwhpcBKCbuKWgrmYsf2vYl2DrBGetdRd+a0kfyHtfR7RamKRgaaIIoQCs8A==" workbookSaltValue="iQijtx4G8ZOQp+18n49INA==" workbookSpinCount="100000" lockStructure="1"/>
  <bookViews>
    <workbookView xWindow="-28920" yWindow="-120" windowWidth="29040" windowHeight="15840"/>
  </bookViews>
  <sheets>
    <sheet name="Beitragsrechner" sheetId="11" r:id="rId1"/>
    <sheet name="Berechnung Einkommen" sheetId="12" r:id="rId2"/>
    <sheet name="Rechner Kita SE" sheetId="10" state="hidden" r:id="rId3"/>
    <sheet name="Rechner TFO" sheetId="15" state="hidden" r:id="rId4"/>
    <sheet name="Rechner Mittagstisch" sheetId="20" state="hidden" r:id="rId5"/>
    <sheet name="Anpassungen" sheetId="21" state="hidden" r:id="rId6"/>
  </sheets>
  <definedNames>
    <definedName name="_xlnm.Print_Area" localSheetId="2">'Rechner Kita SE'!$A$1:$M$57</definedName>
    <definedName name="_xlnm.Print_Area" localSheetId="4">'Rechner Mittagstisch'!$A$1:$M$52</definedName>
    <definedName name="_xlnm.Print_Area" localSheetId="3">'Rechner TFO'!$A$1:$M$64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15" l="1"/>
  <c r="K30" i="15" l="1"/>
  <c r="K29" i="15"/>
  <c r="I31" i="15"/>
  <c r="I29" i="15"/>
  <c r="G31" i="15"/>
  <c r="G29" i="15"/>
  <c r="G30" i="15" s="1"/>
  <c r="E31" i="15"/>
  <c r="E29" i="15"/>
  <c r="I32" i="15"/>
  <c r="I30" i="15"/>
  <c r="E32" i="15"/>
  <c r="E30" i="15"/>
  <c r="C31" i="15"/>
  <c r="C29" i="15"/>
  <c r="C30" i="15" s="1"/>
  <c r="K32" i="15" l="1"/>
  <c r="K41" i="15" s="1"/>
  <c r="I41" i="15"/>
  <c r="I43" i="15" s="1"/>
  <c r="G32" i="15"/>
  <c r="G41" i="15" s="1"/>
  <c r="E41" i="15"/>
  <c r="K20" i="15"/>
  <c r="K38" i="15" s="1"/>
  <c r="K39" i="15" s="1"/>
  <c r="I20" i="15"/>
  <c r="I38" i="15" s="1"/>
  <c r="I39" i="15" s="1"/>
  <c r="G20" i="15"/>
  <c r="G38" i="15" s="1"/>
  <c r="G39" i="15" s="1"/>
  <c r="E20" i="15"/>
  <c r="E38" i="15" s="1"/>
  <c r="E39" i="15" s="1"/>
  <c r="E43" i="15" l="1"/>
  <c r="K43" i="15"/>
  <c r="G43" i="15"/>
  <c r="E21" i="12"/>
  <c r="E12" i="12"/>
  <c r="E13" i="12" s="1"/>
  <c r="E14" i="10" l="1"/>
  <c r="K22" i="10"/>
  <c r="K23" i="10" s="1"/>
  <c r="I22" i="10"/>
  <c r="I23" i="10" s="1"/>
  <c r="G22" i="10"/>
  <c r="G23" i="10" s="1"/>
  <c r="E22" i="10"/>
  <c r="E23" i="10" s="1"/>
  <c r="C22" i="10"/>
  <c r="C23" i="10" s="1"/>
  <c r="AC22" i="11"/>
  <c r="G48" i="20"/>
  <c r="C31" i="20"/>
  <c r="I85" i="11"/>
  <c r="G44" i="20"/>
  <c r="E44" i="20"/>
  <c r="C23" i="15"/>
  <c r="E8" i="12"/>
  <c r="C40" i="15" l="1"/>
  <c r="C21" i="20"/>
  <c r="D83" i="11"/>
  <c r="D81" i="11"/>
  <c r="D79" i="11"/>
  <c r="D77" i="11"/>
  <c r="D75" i="11"/>
  <c r="K31" i="20" l="1"/>
  <c r="E31" i="20"/>
  <c r="K21" i="20"/>
  <c r="K28" i="20" s="1"/>
  <c r="I21" i="20"/>
  <c r="I28" i="20" s="1"/>
  <c r="G21" i="20"/>
  <c r="G28" i="20" s="1"/>
  <c r="E21" i="20"/>
  <c r="C28" i="20"/>
  <c r="AC33" i="11"/>
  <c r="K18" i="20"/>
  <c r="K32" i="20" s="1"/>
  <c r="K33" i="20" s="1"/>
  <c r="G18" i="20"/>
  <c r="I18" i="20"/>
  <c r="I32" i="20" s="1"/>
  <c r="E18" i="20"/>
  <c r="E32" i="20" s="1"/>
  <c r="C18" i="20"/>
  <c r="C32" i="20" s="1"/>
  <c r="C33" i="20" s="1"/>
  <c r="K26" i="15"/>
  <c r="K35" i="15" s="1"/>
  <c r="K47" i="15" s="1"/>
  <c r="K48" i="15" s="1"/>
  <c r="I26" i="15"/>
  <c r="I35" i="15" s="1"/>
  <c r="I47" i="15" s="1"/>
  <c r="I48" i="15" s="1"/>
  <c r="E26" i="15"/>
  <c r="E35" i="15" s="1"/>
  <c r="E47" i="15" s="1"/>
  <c r="E48" i="15" s="1"/>
  <c r="G26" i="15"/>
  <c r="G35" i="15" s="1"/>
  <c r="G47" i="15" s="1"/>
  <c r="G48" i="15" s="1"/>
  <c r="C26" i="15"/>
  <c r="C35" i="15" s="1"/>
  <c r="C27" i="10"/>
  <c r="C34" i="10" s="1"/>
  <c r="K27" i="10"/>
  <c r="K34" i="10" s="1"/>
  <c r="I27" i="10"/>
  <c r="I34" i="10" s="1"/>
  <c r="G27" i="10"/>
  <c r="G34" i="10" s="1"/>
  <c r="E27" i="10"/>
  <c r="E34" i="10" s="1"/>
  <c r="K24" i="15"/>
  <c r="I24" i="15"/>
  <c r="G24" i="15"/>
  <c r="E24" i="15"/>
  <c r="C24" i="15"/>
  <c r="K23" i="15"/>
  <c r="K40" i="15" s="1"/>
  <c r="K42" i="15" s="1"/>
  <c r="K44" i="15" s="1"/>
  <c r="I23" i="15"/>
  <c r="I40" i="15" s="1"/>
  <c r="I42" i="15" s="1"/>
  <c r="I44" i="15" s="1"/>
  <c r="G23" i="15"/>
  <c r="G40" i="15" s="1"/>
  <c r="G42" i="15" s="1"/>
  <c r="E23" i="15"/>
  <c r="E40" i="15" s="1"/>
  <c r="E42" i="15" s="1"/>
  <c r="E44" i="15" s="1"/>
  <c r="K21" i="15"/>
  <c r="K22" i="15" s="1"/>
  <c r="I21" i="15"/>
  <c r="I22" i="15" s="1"/>
  <c r="G21" i="15"/>
  <c r="E21" i="15"/>
  <c r="E22" i="15" s="1"/>
  <c r="C21" i="15"/>
  <c r="C22" i="15" s="1"/>
  <c r="C20" i="15"/>
  <c r="K24" i="10"/>
  <c r="I24" i="10"/>
  <c r="G24" i="10"/>
  <c r="E24" i="10"/>
  <c r="C24" i="10"/>
  <c r="C38" i="15" l="1"/>
  <c r="G44" i="15"/>
  <c r="E33" i="20"/>
  <c r="E36" i="20" s="1"/>
  <c r="G32" i="20"/>
  <c r="G22" i="15"/>
  <c r="C39" i="15" l="1"/>
  <c r="E20" i="12" l="1"/>
  <c r="E23" i="12" s="1"/>
  <c r="H27" i="12"/>
  <c r="E7" i="12"/>
  <c r="E6" i="12"/>
  <c r="E5" i="12"/>
  <c r="AC61" i="11"/>
  <c r="AC51" i="11"/>
  <c r="AC42" i="11"/>
  <c r="E21" i="10"/>
  <c r="V60" i="11"/>
  <c r="W60" i="11"/>
  <c r="X60" i="11"/>
  <c r="Y60" i="11"/>
  <c r="V61" i="11"/>
  <c r="W61" i="11"/>
  <c r="X61" i="11"/>
  <c r="Y61" i="11"/>
  <c r="V62" i="11"/>
  <c r="W62" i="11"/>
  <c r="X62" i="11"/>
  <c r="Y62" i="11"/>
  <c r="V63" i="11"/>
  <c r="W63" i="11"/>
  <c r="X63" i="11"/>
  <c r="Y63" i="11"/>
  <c r="U61" i="11"/>
  <c r="U62" i="11"/>
  <c r="U63" i="11"/>
  <c r="U60" i="11"/>
  <c r="V51" i="11"/>
  <c r="W51" i="11"/>
  <c r="X51" i="11"/>
  <c r="Y51" i="11"/>
  <c r="V52" i="11"/>
  <c r="W52" i="11"/>
  <c r="X52" i="11"/>
  <c r="Y52" i="11"/>
  <c r="V53" i="11"/>
  <c r="W53" i="11"/>
  <c r="X53" i="11"/>
  <c r="Y53" i="11"/>
  <c r="V54" i="11"/>
  <c r="W54" i="11"/>
  <c r="X54" i="11"/>
  <c r="Y54" i="11"/>
  <c r="U52" i="11"/>
  <c r="U53" i="11"/>
  <c r="U54" i="11"/>
  <c r="U51" i="11"/>
  <c r="V42" i="11"/>
  <c r="W42" i="11"/>
  <c r="X42" i="11"/>
  <c r="Y42" i="11"/>
  <c r="V43" i="11"/>
  <c r="W43" i="11"/>
  <c r="X43" i="11"/>
  <c r="Y43" i="11"/>
  <c r="V44" i="11"/>
  <c r="W44" i="11"/>
  <c r="X44" i="11"/>
  <c r="Y44" i="11"/>
  <c r="V45" i="11"/>
  <c r="W45" i="11"/>
  <c r="X45" i="11"/>
  <c r="Y45" i="11"/>
  <c r="U43" i="11"/>
  <c r="U44" i="11"/>
  <c r="U45" i="11"/>
  <c r="U42" i="11"/>
  <c r="V33" i="11"/>
  <c r="W33" i="11"/>
  <c r="X33" i="11"/>
  <c r="Y33" i="11"/>
  <c r="V34" i="11"/>
  <c r="W34" i="11"/>
  <c r="X34" i="11"/>
  <c r="Y34" i="11"/>
  <c r="V35" i="11"/>
  <c r="W35" i="11"/>
  <c r="X35" i="11"/>
  <c r="Y35" i="11"/>
  <c r="V36" i="11"/>
  <c r="W36" i="11"/>
  <c r="X36" i="11"/>
  <c r="Y36" i="11"/>
  <c r="U34" i="11"/>
  <c r="U35" i="11"/>
  <c r="U36" i="11"/>
  <c r="U33" i="11"/>
  <c r="V23" i="11"/>
  <c r="W23" i="11"/>
  <c r="X23" i="11"/>
  <c r="Y23" i="11"/>
  <c r="V24" i="11"/>
  <c r="W24" i="11"/>
  <c r="X24" i="11"/>
  <c r="Y24" i="11"/>
  <c r="V25" i="11"/>
  <c r="W25" i="11"/>
  <c r="X25" i="11"/>
  <c r="Y25" i="11"/>
  <c r="V26" i="11"/>
  <c r="W26" i="11"/>
  <c r="X26" i="11"/>
  <c r="X28" i="11" s="1"/>
  <c r="Y26" i="11"/>
  <c r="U24" i="11"/>
  <c r="U25" i="11"/>
  <c r="U26" i="11"/>
  <c r="U23" i="11"/>
  <c r="W28" i="11" l="1"/>
  <c r="X37" i="11"/>
  <c r="X38" i="11"/>
  <c r="X56" i="11"/>
  <c r="X55" i="11"/>
  <c r="W27" i="11"/>
  <c r="W37" i="11"/>
  <c r="W38" i="11"/>
  <c r="W46" i="11"/>
  <c r="W47" i="11"/>
  <c r="W55" i="11"/>
  <c r="W56" i="11"/>
  <c r="W64" i="11"/>
  <c r="W65" i="11"/>
  <c r="X46" i="11"/>
  <c r="X47" i="11"/>
  <c r="X64" i="11"/>
  <c r="X65" i="11"/>
  <c r="V47" i="11"/>
  <c r="V46" i="11"/>
  <c r="V55" i="11"/>
  <c r="V56" i="11"/>
  <c r="V64" i="11"/>
  <c r="V65" i="11"/>
  <c r="X27" i="11"/>
  <c r="V38" i="11"/>
  <c r="V37" i="11"/>
  <c r="U28" i="11"/>
  <c r="U27" i="11"/>
  <c r="Y27" i="11"/>
  <c r="Y28" i="11"/>
  <c r="U38" i="11"/>
  <c r="U37" i="11"/>
  <c r="Y38" i="11"/>
  <c r="Y37" i="11"/>
  <c r="U47" i="11"/>
  <c r="U46" i="11"/>
  <c r="Y47" i="11"/>
  <c r="Y46" i="11"/>
  <c r="U55" i="11"/>
  <c r="U56" i="11"/>
  <c r="Y56" i="11"/>
  <c r="Y55" i="11"/>
  <c r="U64" i="11"/>
  <c r="U65" i="11"/>
  <c r="Y64" i="11"/>
  <c r="Y65" i="11"/>
  <c r="V27" i="11"/>
  <c r="K21" i="10"/>
  <c r="I21" i="10"/>
  <c r="G21" i="10"/>
  <c r="V28" i="11"/>
  <c r="C21" i="10"/>
  <c r="C37" i="10" s="1"/>
  <c r="AC24" i="11"/>
  <c r="C19" i="20" s="1"/>
  <c r="C24" i="20" s="1"/>
  <c r="C25" i="20" s="1"/>
  <c r="AC44" i="11"/>
  <c r="G19" i="20" s="1"/>
  <c r="G24" i="20" s="1"/>
  <c r="G25" i="20" s="1"/>
  <c r="AC35" i="11"/>
  <c r="E19" i="20" s="1"/>
  <c r="E24" i="20" s="1"/>
  <c r="E25" i="20" s="1"/>
  <c r="AC53" i="11"/>
  <c r="I19" i="20" s="1"/>
  <c r="I24" i="20" s="1"/>
  <c r="I25" i="20" s="1"/>
  <c r="AC63" i="11"/>
  <c r="K19" i="20" s="1"/>
  <c r="K24" i="20" s="1"/>
  <c r="K25" i="20" s="1"/>
  <c r="E37" i="10"/>
  <c r="C41" i="10" l="1"/>
  <c r="C42" i="10" s="1"/>
  <c r="C38" i="10"/>
  <c r="Z28" i="11"/>
  <c r="AA28" i="11" s="1"/>
  <c r="K37" i="10"/>
  <c r="K38" i="10" s="1"/>
  <c r="I37" i="10"/>
  <c r="I38" i="10" s="1"/>
  <c r="G37" i="10"/>
  <c r="G38" i="10" s="1"/>
  <c r="E38" i="10"/>
  <c r="I41" i="10" l="1"/>
  <c r="I42" i="10" s="1"/>
  <c r="K41" i="10"/>
  <c r="K42" i="10" s="1"/>
  <c r="G41" i="10"/>
  <c r="G42" i="10" s="1"/>
  <c r="E41" i="10"/>
  <c r="E42" i="10" s="1"/>
  <c r="Z55" i="11" l="1"/>
  <c r="Z65" i="11"/>
  <c r="AA65" i="11" s="1"/>
  <c r="Z64" i="11"/>
  <c r="Z56" i="11"/>
  <c r="AA56" i="11" s="1"/>
  <c r="Z46" i="11"/>
  <c r="AA46" i="11" s="1"/>
  <c r="Z47" i="11"/>
  <c r="AA47" i="11" s="1"/>
  <c r="G25" i="10" s="1"/>
  <c r="Z37" i="11"/>
  <c r="Z38" i="11"/>
  <c r="AA38" i="11" s="1"/>
  <c r="Z27" i="11"/>
  <c r="AA27" i="11" s="1"/>
  <c r="C25" i="10" s="1"/>
  <c r="C30" i="10" s="1"/>
  <c r="C31" i="10" s="1"/>
  <c r="E14" i="15"/>
  <c r="E12" i="15"/>
  <c r="E11" i="15"/>
  <c r="E10" i="15"/>
  <c r="E9" i="15"/>
  <c r="AA37" i="11" l="1"/>
  <c r="E25" i="10" s="1"/>
  <c r="E30" i="10" s="1"/>
  <c r="E31" i="10" s="1"/>
  <c r="AA55" i="11"/>
  <c r="AA64" i="11"/>
  <c r="G30" i="10"/>
  <c r="G31" i="10" s="1"/>
  <c r="G31" i="20"/>
  <c r="G33" i="20" s="1"/>
  <c r="G36" i="20" s="1"/>
  <c r="I31" i="20"/>
  <c r="I33" i="20" s="1"/>
  <c r="C11" i="20"/>
  <c r="C36" i="20" s="1"/>
  <c r="C37" i="20" s="1"/>
  <c r="E28" i="20"/>
  <c r="K25" i="10" l="1"/>
  <c r="K30" i="10" s="1"/>
  <c r="K31" i="10" s="1"/>
  <c r="I25" i="10"/>
  <c r="I30" i="10" s="1"/>
  <c r="I31" i="10" s="1"/>
  <c r="K36" i="20"/>
  <c r="K37" i="20" s="1"/>
  <c r="I36" i="20"/>
  <c r="E37" i="20"/>
  <c r="I37" i="20" l="1"/>
  <c r="G37" i="20"/>
  <c r="C32" i="15" l="1"/>
  <c r="C41" i="15" l="1"/>
  <c r="E9" i="12"/>
  <c r="E15" i="12" s="1"/>
  <c r="E27" i="12" s="1"/>
  <c r="C42" i="15" l="1"/>
  <c r="C47" i="15"/>
  <c r="C48" i="15" s="1"/>
  <c r="C43" i="15"/>
  <c r="C44" i="15" l="1"/>
  <c r="F71" i="11"/>
  <c r="G20" i="20"/>
  <c r="G40" i="20" s="1"/>
  <c r="G41" i="20" s="1"/>
  <c r="I20" i="20"/>
  <c r="I40" i="20" s="1"/>
  <c r="E20" i="20"/>
  <c r="K20" i="20"/>
  <c r="K40" i="20" s="1"/>
  <c r="C20" i="20"/>
  <c r="C40" i="20" s="1"/>
  <c r="G25" i="15"/>
  <c r="G51" i="15" s="1"/>
  <c r="G52" i="15" s="1"/>
  <c r="E25" i="15"/>
  <c r="E51" i="15" s="1"/>
  <c r="E52" i="15" s="1"/>
  <c r="K25" i="15"/>
  <c r="K51" i="15" s="1"/>
  <c r="K52" i="15" s="1"/>
  <c r="C25" i="15"/>
  <c r="C51" i="15" s="1"/>
  <c r="I25" i="15"/>
  <c r="I51" i="15" s="1"/>
  <c r="I52" i="15" s="1"/>
  <c r="I26" i="10"/>
  <c r="I45" i="10" s="1"/>
  <c r="C26" i="10"/>
  <c r="C45" i="10" s="1"/>
  <c r="C46" i="10" s="1"/>
  <c r="G26" i="10"/>
  <c r="E26" i="10"/>
  <c r="E45" i="10" s="1"/>
  <c r="E49" i="10" s="1"/>
  <c r="K26" i="10"/>
  <c r="K45" i="10" s="1"/>
  <c r="G56" i="15" l="1"/>
  <c r="G55" i="15"/>
  <c r="I56" i="15"/>
  <c r="I55" i="15"/>
  <c r="K55" i="15"/>
  <c r="K56" i="15"/>
  <c r="E56" i="15"/>
  <c r="E55" i="15"/>
  <c r="C41" i="20"/>
  <c r="C45" i="20" s="1"/>
  <c r="C44" i="20"/>
  <c r="K46" i="10"/>
  <c r="K50" i="10" s="1"/>
  <c r="K49" i="10"/>
  <c r="I46" i="10"/>
  <c r="I50" i="10" s="1"/>
  <c r="I49" i="10"/>
  <c r="E46" i="10"/>
  <c r="E50" i="10" s="1"/>
  <c r="C49" i="10"/>
  <c r="K41" i="20"/>
  <c r="K45" i="20" s="1"/>
  <c r="K44" i="20"/>
  <c r="I41" i="20"/>
  <c r="I45" i="20" s="1"/>
  <c r="I44" i="20"/>
  <c r="G45" i="20"/>
  <c r="G46" i="20" s="1"/>
  <c r="E40" i="20"/>
  <c r="E41" i="20" s="1"/>
  <c r="G45" i="10"/>
  <c r="I57" i="15" l="1"/>
  <c r="I58" i="15" s="1"/>
  <c r="I59" i="15" s="1"/>
  <c r="I60" i="15" s="1"/>
  <c r="C55" i="15"/>
  <c r="C52" i="15"/>
  <c r="C56" i="15" s="1"/>
  <c r="K57" i="15"/>
  <c r="K58" i="15" s="1"/>
  <c r="K59" i="15" s="1"/>
  <c r="K60" i="15" s="1"/>
  <c r="E57" i="15"/>
  <c r="E58" i="15" s="1"/>
  <c r="E59" i="15" s="1"/>
  <c r="E60" i="15" s="1"/>
  <c r="G57" i="15"/>
  <c r="G58" i="15" s="1"/>
  <c r="G59" i="15" s="1"/>
  <c r="G60" i="15" s="1"/>
  <c r="K51" i="10"/>
  <c r="I51" i="10"/>
  <c r="G46" i="10"/>
  <c r="G50" i="10" s="1"/>
  <c r="G49" i="10"/>
  <c r="E51" i="10"/>
  <c r="I46" i="20"/>
  <c r="I48" i="20" s="1"/>
  <c r="K46" i="20"/>
  <c r="K48" i="20" s="1"/>
  <c r="G47" i="20"/>
  <c r="E45" i="20"/>
  <c r="E46" i="20" s="1"/>
  <c r="E48" i="20" s="1"/>
  <c r="C46" i="20"/>
  <c r="C48" i="20" s="1"/>
  <c r="C50" i="10"/>
  <c r="C51" i="10" s="1"/>
  <c r="C57" i="15" l="1"/>
  <c r="C58" i="15" s="1"/>
  <c r="C59" i="15" s="1"/>
  <c r="C60" i="15" s="1"/>
  <c r="K53" i="10"/>
  <c r="F83" i="11"/>
  <c r="I53" i="10"/>
  <c r="K81" i="11" s="1"/>
  <c r="F81" i="11"/>
  <c r="E53" i="10"/>
  <c r="K77" i="11" s="1"/>
  <c r="F77" i="11"/>
  <c r="C53" i="10"/>
  <c r="G51" i="10"/>
  <c r="K47" i="20"/>
  <c r="I47" i="20"/>
  <c r="K83" i="11"/>
  <c r="E47" i="20"/>
  <c r="C47" i="20"/>
  <c r="I52" i="10"/>
  <c r="F75" i="11" l="1"/>
  <c r="H81" i="11"/>
  <c r="G52" i="10"/>
  <c r="H79" i="11" s="1"/>
  <c r="F79" i="11"/>
  <c r="G53" i="10"/>
  <c r="K79" i="11" s="1"/>
  <c r="K75" i="11"/>
  <c r="C52" i="10"/>
  <c r="H75" i="11" s="1"/>
  <c r="K52" i="10"/>
  <c r="H83" i="11" s="1"/>
  <c r="E52" i="10"/>
  <c r="H77" i="11" s="1"/>
  <c r="K85" i="11" l="1"/>
  <c r="F85" i="11"/>
  <c r="H85" i="11" l="1"/>
</calcChain>
</file>

<file path=xl/comments1.xml><?xml version="1.0" encoding="utf-8"?>
<comments xmlns="http://schemas.openxmlformats.org/spreadsheetml/2006/main">
  <authors>
    <author>Manuel Meierhofer</author>
  </authors>
  <commentList>
    <comment ref="J11" authorId="0" shapeId="0">
      <text>
        <r>
          <rPr>
            <sz val="9"/>
            <color indexed="81"/>
            <rFont val="Segoe UI"/>
            <family val="2"/>
          </rPr>
          <t>BVG/2. Säule
Auf Steuererklärung Formular 4, Abs. D.1</t>
        </r>
      </text>
    </comment>
    <comment ref="J13" authorId="0" shapeId="0">
      <text>
        <r>
          <rPr>
            <sz val="9"/>
            <color indexed="81"/>
            <rFont val="Segoe UI"/>
            <family val="2"/>
          </rPr>
          <t>Alle Aufwände, welche an den Steuern abgezogen werden konnten, Auf Steuererklärung Formular 5, Abs. C.2</t>
        </r>
      </text>
    </comment>
  </commentList>
</comments>
</file>

<file path=xl/sharedStrings.xml><?xml version="1.0" encoding="utf-8"?>
<sst xmlns="http://schemas.openxmlformats.org/spreadsheetml/2006/main" count="515" uniqueCount="188">
  <si>
    <t>Bemerkung</t>
  </si>
  <si>
    <t>Tagestarif</t>
  </si>
  <si>
    <t>Findet die Betreuung während der Schulzeit statt?</t>
  </si>
  <si>
    <t>Bruttoeinkommen</t>
  </si>
  <si>
    <t>Reineinkommen</t>
  </si>
  <si>
    <t>Einkaufe berufliche Vorsorge</t>
  </si>
  <si>
    <t>Reinvermögen</t>
  </si>
  <si>
    <t>Betreuungsbeitrag pro Tag</t>
  </si>
  <si>
    <t>Betreuungsbeitrag pro Monat</t>
  </si>
  <si>
    <t xml:space="preserve">Berechnung für nicht an der Quelle Besteuerte </t>
  </si>
  <si>
    <t>Einkommen</t>
  </si>
  <si>
    <r>
      <t xml:space="preserve">Abzüge </t>
    </r>
    <r>
      <rPr>
        <b/>
        <sz val="10"/>
        <color theme="1"/>
        <rFont val="Arial"/>
        <family val="2"/>
      </rPr>
      <t>ausserordentliche Liegenschaftsaufwand</t>
    </r>
  </si>
  <si>
    <r>
      <rPr>
        <b/>
        <sz val="10"/>
        <color theme="1"/>
        <rFont val="Arial"/>
        <family val="2"/>
      </rPr>
      <t>10% des Reinvermögen</t>
    </r>
    <r>
      <rPr>
        <sz val="10"/>
        <color theme="1"/>
        <rFont val="Arial"/>
        <family val="2"/>
      </rPr>
      <t xml:space="preserve"> nach Abzug vom Freibetrag </t>
    </r>
  </si>
  <si>
    <t>Total Einkommen</t>
  </si>
  <si>
    <t xml:space="preserve">Abzüge </t>
  </si>
  <si>
    <t>Total Abzüge</t>
  </si>
  <si>
    <t>Total massgebendes Einkommen</t>
  </si>
  <si>
    <t>Berechnung für an der Quelle Besteuerte</t>
  </si>
  <si>
    <t>Sozialabzüge von 6'600. pro Kind</t>
  </si>
  <si>
    <t>Anspruchberechtigtes Einkommen</t>
  </si>
  <si>
    <t>BG Rechner Kanton Schwyz</t>
  </si>
  <si>
    <t>Parameter</t>
  </si>
  <si>
    <t>Massgebendes Einkommen</t>
  </si>
  <si>
    <t>Untergrenze (maximaler BG)</t>
  </si>
  <si>
    <t>CHF</t>
  </si>
  <si>
    <t>Obergrenze</t>
  </si>
  <si>
    <t>Normkosten Kita</t>
  </si>
  <si>
    <t>Kinder von 3 bis 18 Monaten (Babytarif)</t>
  </si>
  <si>
    <t>Kinder ab 19 Monaten bis Primarstufeneintritt</t>
  </si>
  <si>
    <t>Kinder ab Primarstufeneintritt - während der Schulzeit</t>
  </si>
  <si>
    <t>Kinder ab Primarstufeneintritt - während der schulfreien Zeit</t>
  </si>
  <si>
    <t>Minimaltarif (Minimaler Elternbeitrag)</t>
  </si>
  <si>
    <t>Eingabefelder</t>
  </si>
  <si>
    <t xml:space="preserve">Kind </t>
  </si>
  <si>
    <t>Kind</t>
  </si>
  <si>
    <t>Info</t>
  </si>
  <si>
    <t xml:space="preserve">Berechnung Eingaben </t>
  </si>
  <si>
    <t>Einheit</t>
  </si>
  <si>
    <t xml:space="preserve">Ist das Kind im Baby Tarif </t>
  </si>
  <si>
    <t>WAHR wenn das Kind zwischen 3 und 18 Monate alt ist</t>
  </si>
  <si>
    <t>Ist das Kind eingeschult</t>
  </si>
  <si>
    <t>WAHR wenn das Kind eingeschult ist</t>
  </si>
  <si>
    <t>Findet die Betreuung während der Schulzeit statt</t>
  </si>
  <si>
    <t>WAHR wenn das Kind eingeschult ist und während der Schulzeitbetreuut wird</t>
  </si>
  <si>
    <r>
      <rPr>
        <b/>
        <i/>
        <sz val="10"/>
        <color theme="1"/>
        <rFont val="Arial"/>
        <family val="2"/>
      </rPr>
      <t>Tagestarif</t>
    </r>
    <r>
      <rPr>
        <i/>
        <sz val="10"/>
        <color theme="1"/>
        <rFont val="Arial"/>
        <family val="2"/>
      </rPr>
      <t xml:space="preserve"> </t>
    </r>
  </si>
  <si>
    <r>
      <t xml:space="preserve">Anspruchsberechtigtes </t>
    </r>
    <r>
      <rPr>
        <b/>
        <i/>
        <sz val="10"/>
        <color theme="1"/>
        <rFont val="Arial"/>
        <family val="2"/>
      </rPr>
      <t>Betreuungspensum</t>
    </r>
  </si>
  <si>
    <t>%</t>
  </si>
  <si>
    <t>20% = 1 Tag pro Woche</t>
  </si>
  <si>
    <r>
      <t xml:space="preserve">Anspruchberechtigtes </t>
    </r>
    <r>
      <rPr>
        <b/>
        <i/>
        <sz val="10"/>
        <color theme="1"/>
        <rFont val="Arial"/>
        <family val="2"/>
      </rPr>
      <t>Einkommen</t>
    </r>
  </si>
  <si>
    <r>
      <t xml:space="preserve">Anzahl </t>
    </r>
    <r>
      <rPr>
        <b/>
        <i/>
        <sz val="10"/>
        <color theme="1"/>
        <rFont val="Arial"/>
        <family val="2"/>
      </rPr>
      <t>Geschwister</t>
    </r>
    <r>
      <rPr>
        <i/>
        <sz val="10"/>
        <color theme="1"/>
        <rFont val="Arial"/>
        <family val="2"/>
      </rPr>
      <t>, die ebenfalls familienergänzend betreut werden</t>
    </r>
  </si>
  <si>
    <t>Anz.</t>
  </si>
  <si>
    <t xml:space="preserve">10% Geschwisterrabatt (pro Geschwister welche auch Familienergänzend betreut werden) </t>
  </si>
  <si>
    <t>Betreuungstage pro Woche / pro Monat</t>
  </si>
  <si>
    <t>Betreuungstage pro Woche</t>
  </si>
  <si>
    <t>t</t>
  </si>
  <si>
    <t>Anspruchberechtigtes Betreuungspensum * 5</t>
  </si>
  <si>
    <t>Betreuungstage pro Monat</t>
  </si>
  <si>
    <r>
      <rPr>
        <sz val="10"/>
        <color rgb="FFFF0000"/>
        <rFont val="Arial"/>
        <family val="2"/>
      </rPr>
      <t xml:space="preserve">4.1 (Wochen pro Monat) </t>
    </r>
    <r>
      <rPr>
        <sz val="10"/>
        <color theme="1"/>
        <rFont val="Arial"/>
        <family val="2"/>
      </rPr>
      <t>* Betreuungstage pro Woche</t>
    </r>
  </si>
  <si>
    <t>Zuschläge</t>
  </si>
  <si>
    <t>Zuschlag Geschwisterbonus (von 10% je Geschwister mit Betreuung)</t>
  </si>
  <si>
    <t>Berechnung des Tarif</t>
  </si>
  <si>
    <t>Normkosten</t>
  </si>
  <si>
    <t>Normkosten gemäss Alter</t>
  </si>
  <si>
    <t>Tarif</t>
  </si>
  <si>
    <t>Minimum Tagestraif oder Normkosten (Tieferer Wert)</t>
  </si>
  <si>
    <r>
      <t>u</t>
    </r>
    <r>
      <rPr>
        <sz val="10"/>
        <color rgb="FF000000"/>
        <rFont val="Arial"/>
        <family val="2"/>
      </rPr>
      <t xml:space="preserve"> = </t>
    </r>
    <r>
      <rPr>
        <b/>
        <sz val="10"/>
        <color rgb="FF8064A2"/>
        <rFont val="Arial"/>
        <family val="2"/>
      </rPr>
      <t>Minimaltarif</t>
    </r>
    <r>
      <rPr>
        <sz val="10"/>
        <color rgb="FF000000"/>
        <rFont val="Arial"/>
        <family val="2"/>
      </rPr>
      <t xml:space="preserve"> / Normkosten * (1 - </t>
    </r>
    <r>
      <rPr>
        <b/>
        <sz val="10"/>
        <color rgb="FFFF66FF"/>
        <rFont val="Arial"/>
        <family val="2"/>
      </rPr>
      <t>g</t>
    </r>
    <r>
      <rPr>
        <sz val="10"/>
        <color rgb="FF000000"/>
        <rFont val="Arial"/>
        <family val="2"/>
      </rPr>
      <t>) </t>
    </r>
  </si>
  <si>
    <t>Anstieg Beitrag durch Erziehungsberechtigte pro Franken mehr Einkommen</t>
  </si>
  <si>
    <r>
      <t>z</t>
    </r>
    <r>
      <rPr>
        <sz val="10"/>
        <color rgb="FFFFC000"/>
        <rFont val="Arial"/>
        <family val="2"/>
      </rPr>
      <t xml:space="preserve"> </t>
    </r>
    <r>
      <rPr>
        <sz val="10"/>
        <color rgb="FF000000"/>
        <rFont val="Arial"/>
        <family val="2"/>
      </rPr>
      <t xml:space="preserve">= (1 - </t>
    </r>
    <r>
      <rPr>
        <b/>
        <sz val="10"/>
        <color rgb="FF00B050"/>
        <rFont val="Arial"/>
        <family val="2"/>
      </rPr>
      <t>u</t>
    </r>
    <r>
      <rPr>
        <sz val="10"/>
        <color rgb="FF000000"/>
        <rFont val="Arial"/>
        <family val="2"/>
      </rPr>
      <t>) / (Obergrenze - Untergrenze) </t>
    </r>
  </si>
  <si>
    <t>Berechnungen des Selbstbehaltes</t>
  </si>
  <si>
    <t>Selbstbehalt der Erziehungsberechtigten</t>
  </si>
  <si>
    <r>
      <t>y</t>
    </r>
    <r>
      <rPr>
        <sz val="10"/>
        <color theme="1"/>
        <rFont val="Arial"/>
        <family val="2"/>
      </rPr>
      <t xml:space="preserve"> = </t>
    </r>
    <r>
      <rPr>
        <b/>
        <sz val="10"/>
        <color rgb="FF00B050"/>
        <rFont val="Arial"/>
        <family val="2"/>
      </rPr>
      <t>u</t>
    </r>
    <r>
      <rPr>
        <sz val="10"/>
        <color theme="1"/>
        <rFont val="Arial"/>
        <family val="2"/>
      </rPr>
      <t xml:space="preserve"> + </t>
    </r>
    <r>
      <rPr>
        <b/>
        <sz val="10"/>
        <color rgb="FFF79646"/>
        <rFont val="Arial"/>
        <family val="2"/>
      </rPr>
      <t>z</t>
    </r>
    <r>
      <rPr>
        <sz val="10"/>
        <color theme="1"/>
        <rFont val="Arial"/>
        <family val="2"/>
      </rPr>
      <t xml:space="preserve"> * (massgebendes Einkommen - Untergrenze)</t>
    </r>
  </si>
  <si>
    <t>Selbstbehalt pro Tag</t>
  </si>
  <si>
    <t>Wenn Tagestarif höher ist als die Normkosten, dann Diffferenz zu Lasten der Eltern</t>
  </si>
  <si>
    <t>Berechnungen Betreuungsbeitrag</t>
  </si>
  <si>
    <t>Betreuungsbeitrag pro Tag (vor Abzug des minimalen Beitrags)</t>
  </si>
  <si>
    <r>
      <t>x</t>
    </r>
    <r>
      <rPr>
        <sz val="10"/>
        <color rgb="FF000000"/>
        <rFont val="Arial"/>
        <family val="2"/>
      </rPr>
      <t xml:space="preserve"> = Normkosten (oder der Tarif KiBe) * (1 - Selbstbehalt) </t>
    </r>
  </si>
  <si>
    <t>Minimaler Beitrag der Erziehungsberechtigen (pro Tag)</t>
  </si>
  <si>
    <t>Total Betreuungsbeitrag pro Tag</t>
  </si>
  <si>
    <t>Betreuungsbeitrag - minimaler Elternbeitrag</t>
  </si>
  <si>
    <t>Total Betreuungsbeitrag pro Monat</t>
  </si>
  <si>
    <t>Betreuungsbeitrag pro Tag * Betreuungstage pro Monat</t>
  </si>
  <si>
    <t>Stundentarif</t>
  </si>
  <si>
    <t>Beitragsrechner Kanton Schwyz - Tagesfamilien</t>
  </si>
  <si>
    <t>?</t>
  </si>
  <si>
    <t>Ist das Kind im Baby Tarif</t>
  </si>
  <si>
    <r>
      <rPr>
        <b/>
        <i/>
        <sz val="10"/>
        <color theme="1"/>
        <rFont val="Arial"/>
        <family val="2"/>
      </rPr>
      <t>Stundentarif</t>
    </r>
    <r>
      <rPr>
        <i/>
        <sz val="10"/>
        <color theme="1"/>
        <rFont val="Arial"/>
        <family val="2"/>
      </rPr>
      <t xml:space="preserve"> </t>
    </r>
  </si>
  <si>
    <t>20% = 1 Tag pro Woche, 1 Tag = 10 Stunden</t>
  </si>
  <si>
    <t>Betreuungsstunden pro Monat</t>
  </si>
  <si>
    <t>std</t>
  </si>
  <si>
    <t>Stundentarif * 10</t>
  </si>
  <si>
    <t>Total Betreuungsbeitrag pro Stunde</t>
  </si>
  <si>
    <t>Betreuungsbeitrag pro Tag / 10 Stunden</t>
  </si>
  <si>
    <t>Tarif pro Mahlzeit</t>
  </si>
  <si>
    <t>Beitragsrechner Kanton Schwyz - Mittagstisch</t>
  </si>
  <si>
    <t xml:space="preserve">Normkosten </t>
  </si>
  <si>
    <t>Normkosten Mittagstisch</t>
  </si>
  <si>
    <t>20% = 1 Mahlzeit pro Woche</t>
  </si>
  <si>
    <t>Betreuungsbeitrag pro Mahlzeit (vor Abzug des minimalen Beitrags)</t>
  </si>
  <si>
    <t>Minimaler Beitrag der Erziehungsberechtigen</t>
  </si>
  <si>
    <t>Normkosten Tagesfamilie</t>
  </si>
  <si>
    <t>Vermittlungsgebühr</t>
  </si>
  <si>
    <t>Stundentarif (Norm)</t>
  </si>
  <si>
    <t>Mittagstisch</t>
  </si>
  <si>
    <t>Nachmittag</t>
  </si>
  <si>
    <t>Morgen</t>
  </si>
  <si>
    <t>Auswahl treffen</t>
  </si>
  <si>
    <t>Haushalt</t>
  </si>
  <si>
    <t>Kind 1</t>
  </si>
  <si>
    <t>Kind 2</t>
  </si>
  <si>
    <t>Kind 3</t>
  </si>
  <si>
    <t>Kind 4</t>
  </si>
  <si>
    <t>Kind 5</t>
  </si>
  <si>
    <t>Geburtsdatum (dd.mm.yyyy)</t>
  </si>
  <si>
    <t>Montag</t>
  </si>
  <si>
    <t>Dienstag</t>
  </si>
  <si>
    <t>Mittwoch</t>
  </si>
  <si>
    <t>Donnerstag</t>
  </si>
  <si>
    <t>Freitag</t>
  </si>
  <si>
    <t>FEB</t>
  </si>
  <si>
    <t>SEB</t>
  </si>
  <si>
    <t>davon betreut</t>
  </si>
  <si>
    <t>Tarif Mittagstisch</t>
  </si>
  <si>
    <t>Total</t>
  </si>
  <si>
    <t>Stunden</t>
  </si>
  <si>
    <t>Tage</t>
  </si>
  <si>
    <t>Alter in Monaten</t>
  </si>
  <si>
    <t>Anzahl Betreuungsstunden</t>
  </si>
  <si>
    <t>Anzahl Betreuungstage</t>
  </si>
  <si>
    <t>Wie lange wird Ihr Kind pro Woche betreut?</t>
  </si>
  <si>
    <r>
      <t xml:space="preserve">Zu welchen Zeiten wird Ihr Kind betreut? </t>
    </r>
    <r>
      <rPr>
        <i/>
        <sz val="10"/>
        <color theme="1"/>
        <rFont val="Arial"/>
        <family val="2"/>
      </rPr>
      <t>Bitte setzen Sie ein "x"</t>
    </r>
    <r>
      <rPr>
        <sz val="10"/>
        <color theme="1"/>
        <rFont val="Arial"/>
        <family val="2"/>
      </rPr>
      <t>.</t>
    </r>
  </si>
  <si>
    <t>Ist Ihr Kind eingeschult?</t>
  </si>
  <si>
    <t>Anzahl Kinder unter 18 Jahre alt</t>
  </si>
  <si>
    <t>Mittagstische</t>
  </si>
  <si>
    <t>Spät. Nachmittag</t>
  </si>
  <si>
    <t>Grundbetrag</t>
  </si>
  <si>
    <t>Berechnungen Grundbetrag &amp; Anstieg Elterbeitrag / 1 CHF Einkommen</t>
  </si>
  <si>
    <t>Betreuungsart</t>
  </si>
  <si>
    <r>
      <t xml:space="preserve">Für die Berechnung müssen alle </t>
    </r>
    <r>
      <rPr>
        <u/>
        <sz val="11"/>
        <color theme="1"/>
        <rFont val="Arial"/>
        <family val="2"/>
      </rPr>
      <t>gelben</t>
    </r>
    <r>
      <rPr>
        <sz val="11"/>
        <color theme="1"/>
        <rFont val="Arial"/>
        <family val="2"/>
      </rPr>
      <t xml:space="preserve"> Felder ausgefüllt sein. Füllen Sie dann die Felder im Bereich Haushalt und danach die Felder im Bereich Kinder aus. Für zusätzliche Informationen zu den Feldern Einkommen und Vermögen klicken Sie in das gelbe Eingabefeld.</t>
    </r>
  </si>
  <si>
    <t>Kosten für Erziehungsberechtigte pro Monat</t>
  </si>
  <si>
    <t>Total Kosten für Erziehungsberechtigte pro Monat</t>
  </si>
  <si>
    <t>Kosten für die Erziehungsberechtigten pro Monat</t>
  </si>
  <si>
    <t>Gesamtkosten für Erziehungsberechtigte pro Monat</t>
  </si>
  <si>
    <t>Einkäufe berufliche Vorsorge</t>
  </si>
  <si>
    <t>Abzüge ausserordentlicher Liegenschaftsaufwand</t>
  </si>
  <si>
    <t>Beitragsrechner</t>
  </si>
  <si>
    <t>Die definitive Höhe der Betreuungsbeiträge kann von der Berechnung des Beitragrechners abweichen, da nicht alle Faktoren miteinbezogen werden können, welche möglicherweise Einfluss auf die Berechnung haben. Alle Angaben sind ohne Gewähr.</t>
  </si>
  <si>
    <t>Formel bei Rechner Kita SE für Kind 3-5 wurden angepasst, der Bezug zur Zelle bei Beitragsrechner war falsch (Zeile 49 und 53)</t>
  </si>
  <si>
    <t>Provisorische Berechnung für einen allfälligen Betreuungsbeitrag</t>
  </si>
  <si>
    <t>Text provisorische Berechnung im Beitragsrechner angepasst (für allfälligen Betreuungsbeitrag)</t>
  </si>
  <si>
    <t>Rechner Kita</t>
  </si>
  <si>
    <t>Register</t>
  </si>
  <si>
    <t>Formel in Zeile 22 und 23 waren bei Kinder 2 und folgende falsch. Angepasst (bezug von zeile 23 auf 22, spalte war jedoch falsch</t>
  </si>
  <si>
    <t>Dieser Beitragsrechner ist nicht für die endgültige Abwicklung und Berechnung des familienergänzenden Kinderbetreuungsbeitrags vorgesehen. Er dient lediglich dazu, dass Erziehungsberechtigte bereits vor Inkrafttreten des Kinderbetreuungsgesetzes am 1. Juni 2024 die ungefähre Höhe der monatlichen Betreuungsbeiträge abschätzen können.</t>
  </si>
  <si>
    <t>Einführungstext ergänzt</t>
  </si>
  <si>
    <t>Ab dem 1. Juni 2024 können Sie über die geplante IT-Applikation kiBon ein Gesuch für familienergänzende Kinderbetreuungsbeiträge stellen. Die Kinderbetreuungsbeiträge werden erstmals ab dem 1. August 2024 ausgezahlt.</t>
  </si>
  <si>
    <t>Berechnung Einkommen</t>
  </si>
  <si>
    <t>Zelle H26 wird schrift weiss gemacht, da sonst verwirrend für enduser</t>
  </si>
  <si>
    <t>Total anspruchsberechtigtes Einkommen</t>
  </si>
  <si>
    <t>Einkommen Quellenbesteuerung, Sozialabzug war bis anhin noch nicht berücksichtigt, ergänzt</t>
  </si>
  <si>
    <t>Zeile 87 und 91 zusätzliche Texte ergenzt</t>
  </si>
  <si>
    <t>Änderung</t>
  </si>
  <si>
    <t>Wenn das anspruchsberechtigte Einkommen die Obergrenze von Fr. 153'215.- nicht überschreitet, besteht die Möglichkeit Kinderbetreuungsbeiträge für die familienergänzende Kinderbetreuung zu erhalten.</t>
  </si>
  <si>
    <t>Kommentare, welche durch AGS gemacht wurden, so wie interface darstellen</t>
  </si>
  <si>
    <t>Sind sie quellenbesteuert?</t>
  </si>
  <si>
    <t>Noch zu machen, wenn möglich</t>
  </si>
  <si>
    <t>Rechner als PDF?</t>
  </si>
  <si>
    <t>Berechnung Tagesfamilie, wenn mehr als 10 Stunden begrenzen? (Normkosten sind auf 10h pro Tag ausgelegt</t>
  </si>
  <si>
    <t>Berechnung/Resultat ev. vor Infos, welche es auszufüllen gibt? Oder verweis, das Resultat weiter unten ersichtlich ist…</t>
  </si>
  <si>
    <t>nach onlineschaltung:</t>
  </si>
  <si>
    <t>Rechner TFO</t>
  </si>
  <si>
    <t>Zeile 22, falsche Bezüge zu Beitragsrechner (Zeilen waren falsch)</t>
  </si>
  <si>
    <t>Zeile 52, Wenn effekt. Tarif tiefer, muss von diesem gerechnet werden</t>
  </si>
  <si>
    <t>Betreuungsstunden pro Woche</t>
  </si>
  <si>
    <t>Normkosten pro Tag</t>
  </si>
  <si>
    <t>Normkosten pro Stunde</t>
  </si>
  <si>
    <t>Anteilsmässige Vermittlungsgebühr pro Stunde</t>
  </si>
  <si>
    <t>Selbstbehalt pro Stunde</t>
  </si>
  <si>
    <t>Tarif pro Stunde (effektiv)</t>
  </si>
  <si>
    <t>Tarif pro Stunde (Normkosten)</t>
  </si>
  <si>
    <t>Differenz der Stundentarife (Effektiv - Normkosten)</t>
  </si>
  <si>
    <t>Betreuungsbeitrag pro Stunde (vor Abzug des minimalen Beitrags)</t>
  </si>
  <si>
    <t>Total Betreuungsbeitrag pro durchschnittlicher Tag</t>
  </si>
  <si>
    <t>Minimaler Beitrag der Erziehungsberechtigen (pro Stunde)</t>
  </si>
  <si>
    <t>Normkosten pro Tag / 10</t>
  </si>
  <si>
    <t>4 Franken * Anz. Tage Betreuung pro Monat / Anz. Stunden Betreuung pro Monat</t>
  </si>
  <si>
    <t>(Effektiver Stundentarif Kita * Anzahl Stunden pro Monat) - Betreuungsbeitrag pro Monat</t>
  </si>
  <si>
    <t>Komplett überarbeitet</t>
  </si>
  <si>
    <t>Betreuungsart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</si>
</sst>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CHF&quot;\ * #,##0.00_ ;_ &quot;CHF&quot;\ * \-#,##0.00_ ;_ &quot;CHF&quot;\ * &quot;-&quot;??_ ;_ @_ "/>
    <numFmt numFmtId="164" formatCode="0.0000000000%"/>
    <numFmt numFmtId="165" formatCode="_ &quot;CHF&quot;\ * #,##0_ ;_ &quot;CHF&quot;\ * \-#,##0_ ;_ &quot;CHF&quot;\ * &quot;-&quot;??_ ;_ @_ "/>
    <numFmt numFmtId="166" formatCode="_ &quot;CHF&quot;\ * #,##0.0_ ;_ &quot;CHF&quot;\ * \-#,##0.0_ ;_ &quot;CHF&quot;\ * &quot;-&quot;??_ ;_ @_ "/>
    <numFmt numFmtId="167" formatCode="0.0"/>
  </numFmts>
  <fonts count="29" x14ac:knownFonts="1">
    <font>
      <sz val="10"/>
      <color theme="1"/>
      <name val="Arial"/>
      <family val="2"/>
    </font>
    <font>
      <sz val="10"/>
      <color theme="1"/>
      <name val="Arial"/>
      <family val="2"/>
    </font>
    <font>
      <b/>
      <sz val="10"/>
      <color theme="1"/>
      <name val="Arial"/>
      <family val="2"/>
    </font>
    <font>
      <i/>
      <sz val="10"/>
      <color theme="1"/>
      <name val="Arial"/>
      <family val="2"/>
    </font>
    <font>
      <sz val="10"/>
      <color rgb="FF3F3F76"/>
      <name val="Arial"/>
      <family val="2"/>
    </font>
    <font>
      <sz val="10"/>
      <name val="Arial"/>
      <family val="2"/>
    </font>
    <font>
      <sz val="14"/>
      <color theme="1"/>
      <name val="Arial"/>
      <family val="2"/>
    </font>
    <font>
      <b/>
      <sz val="10"/>
      <color rgb="FFE2001A"/>
      <name val="Arial"/>
      <family val="2"/>
    </font>
    <font>
      <b/>
      <sz val="10"/>
      <color rgb="FF00B050"/>
      <name val="Arial"/>
      <family val="2"/>
    </font>
    <font>
      <b/>
      <sz val="10"/>
      <color rgb="FFF79646"/>
      <name val="Arial"/>
      <family val="2"/>
    </font>
    <font>
      <b/>
      <sz val="10"/>
      <color rgb="FFFFC000"/>
      <name val="Arial"/>
      <family val="2"/>
    </font>
    <font>
      <sz val="10"/>
      <color rgb="FFFFC000"/>
      <name val="Arial"/>
      <family val="2"/>
    </font>
    <font>
      <sz val="10"/>
      <color rgb="FF000000"/>
      <name val="Arial"/>
      <family val="2"/>
    </font>
    <font>
      <b/>
      <sz val="10"/>
      <color rgb="FF8064A2"/>
      <name val="Arial"/>
      <family val="2"/>
    </font>
    <font>
      <b/>
      <sz val="10"/>
      <color rgb="FFFF66FF"/>
      <name val="Arial"/>
      <family val="2"/>
    </font>
    <font>
      <b/>
      <sz val="10"/>
      <color rgb="FF0070C0"/>
      <name val="Arial"/>
      <family val="2"/>
    </font>
    <font>
      <b/>
      <i/>
      <sz val="10"/>
      <color theme="1"/>
      <name val="Arial"/>
      <family val="2"/>
    </font>
    <font>
      <b/>
      <sz val="8"/>
      <color theme="1"/>
      <name val="Arial"/>
      <family val="2"/>
    </font>
    <font>
      <b/>
      <sz val="11"/>
      <color theme="1"/>
      <name val="Arial"/>
      <family val="2"/>
    </font>
    <font>
      <b/>
      <sz val="18"/>
      <color theme="1"/>
      <name val="Arial"/>
      <family val="2"/>
    </font>
    <font>
      <b/>
      <i/>
      <sz val="11"/>
      <color theme="1"/>
      <name val="Arial"/>
      <family val="2"/>
    </font>
    <font>
      <i/>
      <sz val="10"/>
      <color rgb="FF3F3F76"/>
      <name val="Arial"/>
      <family val="2"/>
    </font>
    <font>
      <sz val="10"/>
      <color rgb="FFFF0000"/>
      <name val="Arial"/>
      <family val="2"/>
    </font>
    <font>
      <sz val="8"/>
      <name val="Arial"/>
      <family val="2"/>
    </font>
    <font>
      <sz val="11"/>
      <color theme="1"/>
      <name val="Arial"/>
      <family val="2"/>
    </font>
    <font>
      <u/>
      <sz val="11"/>
      <color theme="1"/>
      <name val="Arial"/>
      <family val="2"/>
    </font>
    <font>
      <b/>
      <sz val="22"/>
      <color theme="1"/>
      <name val="Arial"/>
      <family val="2"/>
    </font>
    <font>
      <sz val="10"/>
      <color theme="0"/>
      <name val="Arial"/>
      <family val="2"/>
    </font>
    <font>
      <sz val="9"/>
      <color indexed="81"/>
      <name val="Segoe UI"/>
      <family val="2"/>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39997558519241921"/>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thin">
        <color indexed="64"/>
      </left>
      <right style="thin">
        <color indexed="64"/>
      </right>
      <top/>
      <bottom style="thin">
        <color indexed="64"/>
      </bottom>
      <diagonal/>
    </border>
    <border>
      <left style="thin">
        <color theme="0" tint="-0.499984740745262"/>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4" fillId="2" borderId="1" applyNumberFormat="0" applyAlignment="0" applyProtection="0"/>
    <xf numFmtId="0" fontId="1" fillId="0" borderId="0"/>
  </cellStyleXfs>
  <cellXfs count="243">
    <xf numFmtId="0" fontId="0" fillId="0" borderId="0" xfId="0"/>
    <xf numFmtId="0" fontId="0" fillId="0" borderId="3" xfId="0" applyBorder="1"/>
    <xf numFmtId="0" fontId="0" fillId="3" borderId="2" xfId="0" applyFill="1" applyBorder="1" applyAlignment="1">
      <alignment horizontal="right"/>
    </xf>
    <xf numFmtId="0" fontId="0" fillId="3" borderId="3" xfId="0" applyFill="1" applyBorder="1" applyAlignment="1">
      <alignment horizontal="right"/>
    </xf>
    <xf numFmtId="164" fontId="0" fillId="0" borderId="0" xfId="1" applyNumberFormat="1" applyFont="1" applyBorder="1"/>
    <xf numFmtId="49" fontId="0" fillId="0" borderId="0" xfId="0" applyNumberFormat="1"/>
    <xf numFmtId="0" fontId="17" fillId="0" borderId="2" xfId="0" applyFont="1" applyBorder="1" applyAlignment="1">
      <alignment horizontal="right"/>
    </xf>
    <xf numFmtId="0" fontId="17" fillId="0" borderId="3" xfId="0" applyFont="1" applyBorder="1" applyAlignment="1">
      <alignment horizontal="right"/>
    </xf>
    <xf numFmtId="0" fontId="6" fillId="0" borderId="5" xfId="0" applyFont="1" applyBorder="1"/>
    <xf numFmtId="0" fontId="6" fillId="0" borderId="6" xfId="0" applyFont="1" applyBorder="1"/>
    <xf numFmtId="0" fontId="0" fillId="0" borderId="6" xfId="0" applyBorder="1"/>
    <xf numFmtId="0" fontId="0" fillId="0" borderId="7" xfId="0" applyBorder="1"/>
    <xf numFmtId="3" fontId="4" fillId="4" borderId="8" xfId="2" applyNumberFormat="1" applyFill="1" applyBorder="1" applyAlignment="1" applyProtection="1"/>
    <xf numFmtId="0" fontId="0" fillId="0" borderId="9" xfId="0" applyBorder="1"/>
    <xf numFmtId="0" fontId="0" fillId="0" borderId="8" xfId="0" applyBorder="1"/>
    <xf numFmtId="0" fontId="0" fillId="3" borderId="8" xfId="0" applyFill="1" applyBorder="1"/>
    <xf numFmtId="0" fontId="0" fillId="3" borderId="0" xfId="0" applyFill="1"/>
    <xf numFmtId="0" fontId="0" fillId="3" borderId="9" xfId="0" applyFill="1" applyBorder="1" applyAlignment="1">
      <alignment horizontal="right"/>
    </xf>
    <xf numFmtId="0" fontId="3" fillId="0" borderId="8" xfId="0" applyFont="1" applyBorder="1"/>
    <xf numFmtId="0" fontId="3" fillId="0" borderId="0" xfId="0" applyFont="1"/>
    <xf numFmtId="0" fontId="3" fillId="3" borderId="0" xfId="0" applyFont="1" applyFill="1"/>
    <xf numFmtId="0" fontId="0" fillId="0" borderId="8" xfId="0" applyBorder="1" applyAlignment="1">
      <alignment wrapText="1"/>
    </xf>
    <xf numFmtId="2" fontId="0" fillId="0" borderId="0" xfId="0" applyNumberFormat="1"/>
    <xf numFmtId="3" fontId="4" fillId="4" borderId="0" xfId="2" applyNumberFormat="1" applyFill="1" applyBorder="1" applyAlignment="1" applyProtection="1"/>
    <xf numFmtId="3" fontId="4" fillId="4" borderId="9" xfId="2" applyNumberFormat="1" applyFill="1" applyBorder="1" applyAlignment="1" applyProtection="1"/>
    <xf numFmtId="49" fontId="0" fillId="0" borderId="10" xfId="0" applyNumberFormat="1" applyBorder="1"/>
    <xf numFmtId="49" fontId="8" fillId="0" borderId="10" xfId="0" applyNumberFormat="1" applyFont="1" applyBorder="1"/>
    <xf numFmtId="49" fontId="10" fillId="0" borderId="10" xfId="0" applyNumberFormat="1" applyFont="1" applyBorder="1"/>
    <xf numFmtId="49" fontId="15" fillId="0" borderId="10" xfId="0" applyNumberFormat="1" applyFont="1" applyBorder="1"/>
    <xf numFmtId="49" fontId="5" fillId="0" borderId="10" xfId="0" applyNumberFormat="1" applyFont="1" applyBorder="1"/>
    <xf numFmtId="49" fontId="7" fillId="0" borderId="10" xfId="0" applyNumberFormat="1" applyFont="1" applyBorder="1"/>
    <xf numFmtId="0" fontId="0" fillId="3" borderId="11" xfId="0" applyFill="1" applyBorder="1"/>
    <xf numFmtId="0" fontId="0" fillId="3" borderId="12" xfId="0" applyFill="1" applyBorder="1"/>
    <xf numFmtId="0" fontId="2" fillId="3" borderId="13" xfId="0" applyFont="1" applyFill="1" applyBorder="1" applyAlignment="1">
      <alignment horizontal="right"/>
    </xf>
    <xf numFmtId="0" fontId="2" fillId="3" borderId="14" xfId="0" applyFont="1" applyFill="1" applyBorder="1" applyAlignment="1">
      <alignment horizontal="right"/>
    </xf>
    <xf numFmtId="49" fontId="2" fillId="3" borderId="4" xfId="0" applyNumberFormat="1" applyFont="1" applyFill="1" applyBorder="1"/>
    <xf numFmtId="0" fontId="2" fillId="3" borderId="12" xfId="0" applyFont="1" applyFill="1" applyBorder="1" applyAlignment="1">
      <alignment horizontal="right"/>
    </xf>
    <xf numFmtId="0" fontId="17" fillId="0" borderId="0" xfId="0" applyFont="1" applyAlignment="1">
      <alignment horizontal="right"/>
    </xf>
    <xf numFmtId="0" fontId="0" fillId="3" borderId="0" xfId="0" applyFill="1" applyAlignment="1">
      <alignment horizontal="right"/>
    </xf>
    <xf numFmtId="0" fontId="17" fillId="0" borderId="9" xfId="0" applyFont="1" applyBorder="1" applyAlignment="1">
      <alignment horizontal="right"/>
    </xf>
    <xf numFmtId="164" fontId="0" fillId="0" borderId="3" xfId="1" applyNumberFormat="1" applyFont="1" applyBorder="1"/>
    <xf numFmtId="49" fontId="17" fillId="0" borderId="10" xfId="0" applyNumberFormat="1" applyFont="1" applyBorder="1"/>
    <xf numFmtId="0" fontId="2" fillId="0" borderId="8" xfId="0" applyFont="1" applyBorder="1"/>
    <xf numFmtId="3" fontId="0" fillId="0" borderId="0" xfId="0" applyNumberFormat="1"/>
    <xf numFmtId="9" fontId="0" fillId="0" borderId="0" xfId="0" applyNumberFormat="1"/>
    <xf numFmtId="10" fontId="0" fillId="0" borderId="0" xfId="1" applyNumberFormat="1" applyFont="1" applyBorder="1"/>
    <xf numFmtId="2" fontId="2" fillId="0" borderId="0" xfId="0" applyNumberFormat="1" applyFont="1"/>
    <xf numFmtId="0" fontId="0" fillId="3" borderId="15" xfId="0" applyFill="1" applyBorder="1" applyAlignment="1">
      <alignment horizontal="right"/>
    </xf>
    <xf numFmtId="0" fontId="0" fillId="0" borderId="15" xfId="0" applyBorder="1"/>
    <xf numFmtId="9" fontId="0" fillId="0" borderId="15" xfId="0" applyNumberFormat="1" applyBorder="1"/>
    <xf numFmtId="164" fontId="0" fillId="0" borderId="15" xfId="1" applyNumberFormat="1" applyFont="1" applyBorder="1"/>
    <xf numFmtId="2" fontId="0" fillId="0" borderId="15" xfId="1" applyNumberFormat="1" applyFont="1" applyBorder="1"/>
    <xf numFmtId="0" fontId="3" fillId="0" borderId="6" xfId="0" applyFont="1" applyBorder="1"/>
    <xf numFmtId="3" fontId="0" fillId="0" borderId="6" xfId="0" applyNumberFormat="1" applyBorder="1"/>
    <xf numFmtId="0" fontId="2" fillId="0" borderId="0" xfId="0" applyFont="1"/>
    <xf numFmtId="0" fontId="16" fillId="0" borderId="0" xfId="0" applyFont="1"/>
    <xf numFmtId="0" fontId="0" fillId="0" borderId="10" xfId="0" applyBorder="1"/>
    <xf numFmtId="49" fontId="5" fillId="0" borderId="16" xfId="0" applyNumberFormat="1" applyFont="1" applyBorder="1"/>
    <xf numFmtId="2" fontId="2" fillId="0" borderId="17" xfId="0" applyNumberFormat="1" applyFont="1" applyBorder="1"/>
    <xf numFmtId="0" fontId="0" fillId="0" borderId="0" xfId="0" applyAlignment="1">
      <alignment horizontal="left" vertical="center" wrapText="1"/>
    </xf>
    <xf numFmtId="0" fontId="0" fillId="0" borderId="0" xfId="0" applyAlignment="1">
      <alignment vertical="center"/>
    </xf>
    <xf numFmtId="3" fontId="4" fillId="0" borderId="0" xfId="2" applyNumberFormat="1" applyFill="1" applyBorder="1" applyAlignment="1" applyProtection="1">
      <protection locked="0"/>
    </xf>
    <xf numFmtId="0" fontId="0" fillId="0" borderId="5" xfId="0" applyBorder="1"/>
    <xf numFmtId="0" fontId="0" fillId="0" borderId="20" xfId="0" applyBorder="1"/>
    <xf numFmtId="0" fontId="0" fillId="0" borderId="22" xfId="0" applyBorder="1"/>
    <xf numFmtId="0" fontId="0" fillId="0" borderId="21" xfId="0" applyBorder="1"/>
    <xf numFmtId="0" fontId="2" fillId="0" borderId="0" xfId="0" applyFont="1" applyAlignment="1">
      <alignment vertical="center"/>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3" fontId="4" fillId="0" borderId="0" xfId="2" applyNumberFormat="1" applyFill="1" applyBorder="1" applyAlignment="1" applyProtection="1"/>
    <xf numFmtId="0" fontId="0" fillId="0" borderId="0" xfId="0" applyAlignment="1">
      <alignment horizontal="right"/>
    </xf>
    <xf numFmtId="49" fontId="0" fillId="0" borderId="9" xfId="0" applyNumberFormat="1" applyBorder="1"/>
    <xf numFmtId="49" fontId="0" fillId="0" borderId="7" xfId="0" applyNumberFormat="1" applyBorder="1"/>
    <xf numFmtId="14" fontId="0" fillId="0" borderId="0" xfId="0" applyNumberFormat="1"/>
    <xf numFmtId="0" fontId="0" fillId="5" borderId="8" xfId="0" applyFill="1" applyBorder="1"/>
    <xf numFmtId="0" fontId="0" fillId="5" borderId="9" xfId="0" applyFill="1" applyBorder="1"/>
    <xf numFmtId="0" fontId="2" fillId="0" borderId="0" xfId="0" applyFont="1" applyAlignment="1">
      <alignment horizontal="left" vertical="center" wrapText="1"/>
    </xf>
    <xf numFmtId="0" fontId="3"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8" fillId="5" borderId="0" xfId="0" applyFont="1" applyFill="1" applyAlignment="1">
      <alignment horizontal="left" vertical="center" wrapText="1"/>
    </xf>
    <xf numFmtId="0" fontId="18" fillId="0" borderId="0" xfId="0" applyFont="1" applyAlignment="1">
      <alignment horizontal="left" vertical="center"/>
    </xf>
    <xf numFmtId="0" fontId="20" fillId="5" borderId="0" xfId="0" applyFont="1" applyFill="1" applyAlignment="1">
      <alignment horizontal="left" vertical="center" wrapText="1"/>
    </xf>
    <xf numFmtId="0" fontId="18" fillId="0" borderId="8" xfId="0" applyFont="1" applyBorder="1"/>
    <xf numFmtId="0" fontId="18" fillId="0" borderId="0" xfId="0" applyFont="1" applyAlignment="1">
      <alignment vertical="center" wrapText="1"/>
    </xf>
    <xf numFmtId="0" fontId="18" fillId="0" borderId="9" xfId="0" applyFont="1" applyBorder="1" applyAlignment="1">
      <alignment vertical="center" wrapText="1"/>
    </xf>
    <xf numFmtId="0" fontId="18" fillId="0" borderId="0" xfId="0" applyFont="1"/>
    <xf numFmtId="0" fontId="18" fillId="0" borderId="9" xfId="0" applyFont="1" applyBorder="1"/>
    <xf numFmtId="4" fontId="3" fillId="0" borderId="6" xfId="0" applyNumberFormat="1" applyFont="1" applyBorder="1"/>
    <xf numFmtId="3" fontId="21" fillId="4" borderId="0" xfId="2" applyNumberFormat="1" applyFont="1" applyFill="1" applyBorder="1" applyAlignment="1" applyProtection="1"/>
    <xf numFmtId="2" fontId="1" fillId="0" borderId="2" xfId="1" applyNumberFormat="1" applyFont="1" applyBorder="1"/>
    <xf numFmtId="2" fontId="2" fillId="0" borderId="2" xfId="0" applyNumberFormat="1" applyFont="1" applyBorder="1"/>
    <xf numFmtId="2" fontId="2" fillId="0" borderId="2" xfId="1" applyNumberFormat="1" applyFont="1" applyBorder="1"/>
    <xf numFmtId="9" fontId="0" fillId="0" borderId="9" xfId="0" applyNumberFormat="1" applyBorder="1"/>
    <xf numFmtId="2" fontId="0" fillId="0" borderId="9" xfId="0" applyNumberFormat="1" applyBorder="1"/>
    <xf numFmtId="10" fontId="0" fillId="0" borderId="9" xfId="1" applyNumberFormat="1" applyFont="1" applyBorder="1"/>
    <xf numFmtId="164" fontId="0" fillId="0" borderId="9" xfId="1" applyNumberFormat="1" applyFont="1" applyBorder="1"/>
    <xf numFmtId="2" fontId="2" fillId="0" borderId="9" xfId="0" applyNumberFormat="1" applyFont="1" applyBorder="1"/>
    <xf numFmtId="2" fontId="0" fillId="0" borderId="9" xfId="1" applyNumberFormat="1" applyFont="1" applyBorder="1"/>
    <xf numFmtId="2" fontId="0" fillId="0" borderId="21" xfId="0" applyNumberFormat="1" applyBorder="1"/>
    <xf numFmtId="0" fontId="0" fillId="0" borderId="2" xfId="0" applyBorder="1"/>
    <xf numFmtId="9" fontId="0" fillId="0" borderId="2" xfId="0" applyNumberFormat="1" applyBorder="1"/>
    <xf numFmtId="2" fontId="0" fillId="0" borderId="2" xfId="0" applyNumberFormat="1" applyBorder="1"/>
    <xf numFmtId="10" fontId="1" fillId="0" borderId="2" xfId="1" applyNumberFormat="1" applyFont="1" applyBorder="1"/>
    <xf numFmtId="164" fontId="1" fillId="0" borderId="2" xfId="1" applyNumberFormat="1" applyFont="1" applyBorder="1"/>
    <xf numFmtId="3" fontId="4" fillId="6" borderId="2" xfId="2" applyNumberFormat="1" applyFill="1" applyBorder="1" applyAlignment="1" applyProtection="1">
      <protection locked="0"/>
    </xf>
    <xf numFmtId="3" fontId="4" fillId="6" borderId="9" xfId="2" applyNumberFormat="1" applyFill="1" applyBorder="1" applyAlignment="1" applyProtection="1">
      <protection locked="0"/>
    </xf>
    <xf numFmtId="3" fontId="4" fillId="6" borderId="15" xfId="2" applyNumberFormat="1" applyFill="1" applyBorder="1" applyAlignment="1" applyProtection="1">
      <protection locked="0"/>
    </xf>
    <xf numFmtId="3" fontId="4" fillId="6" borderId="0" xfId="2" applyNumberFormat="1" applyFill="1" applyBorder="1" applyAlignment="1" applyProtection="1">
      <protection locked="0"/>
    </xf>
    <xf numFmtId="9" fontId="4" fillId="6" borderId="2" xfId="1" applyFont="1" applyFill="1" applyBorder="1" applyAlignment="1" applyProtection="1">
      <protection locked="0"/>
    </xf>
    <xf numFmtId="9" fontId="4" fillId="6" borderId="9" xfId="1" applyFont="1" applyFill="1" applyBorder="1" applyAlignment="1" applyProtection="1">
      <protection locked="0"/>
    </xf>
    <xf numFmtId="9" fontId="4" fillId="6" borderId="15" xfId="1" applyFont="1" applyFill="1" applyBorder="1" applyAlignment="1" applyProtection="1">
      <protection locked="0"/>
    </xf>
    <xf numFmtId="9" fontId="4" fillId="6" borderId="0" xfId="1" applyFont="1" applyFill="1" applyBorder="1" applyAlignment="1" applyProtection="1">
      <protection locked="0"/>
    </xf>
    <xf numFmtId="165" fontId="0" fillId="0" borderId="0" xfId="0" applyNumberFormat="1" applyAlignment="1">
      <alignment vertical="center"/>
    </xf>
    <xf numFmtId="165" fontId="0" fillId="0" borderId="6" xfId="0" applyNumberFormat="1" applyBorder="1"/>
    <xf numFmtId="165" fontId="18" fillId="0" borderId="0" xfId="0" applyNumberFormat="1" applyFont="1" applyAlignment="1">
      <alignment vertical="center" wrapText="1"/>
    </xf>
    <xf numFmtId="165" fontId="16" fillId="0" borderId="18" xfId="0" applyNumberFormat="1" applyFont="1" applyBorder="1" applyAlignment="1">
      <alignment vertical="center"/>
    </xf>
    <xf numFmtId="165" fontId="18" fillId="5" borderId="0" xfId="0" applyNumberFormat="1" applyFont="1" applyFill="1" applyAlignment="1">
      <alignment horizontal="left" vertical="center" wrapText="1"/>
    </xf>
    <xf numFmtId="165" fontId="18" fillId="0" borderId="19" xfId="0" applyNumberFormat="1" applyFont="1" applyBorder="1" applyAlignment="1">
      <alignment vertical="center"/>
    </xf>
    <xf numFmtId="165" fontId="0" fillId="0" borderId="22" xfId="0" applyNumberFormat="1" applyBorder="1"/>
    <xf numFmtId="165" fontId="18" fillId="0" borderId="0" xfId="0" applyNumberFormat="1" applyFont="1"/>
    <xf numFmtId="165" fontId="0" fillId="0" borderId="0" xfId="0" applyNumberFormat="1"/>
    <xf numFmtId="165" fontId="0" fillId="0" borderId="24" xfId="0" applyNumberFormat="1" applyBorder="1"/>
    <xf numFmtId="165" fontId="0" fillId="0" borderId="29" xfId="0" applyNumberFormat="1" applyBorder="1"/>
    <xf numFmtId="0" fontId="16" fillId="0" borderId="8" xfId="0" applyFont="1" applyBorder="1"/>
    <xf numFmtId="3" fontId="0" fillId="0" borderId="2" xfId="0" applyNumberFormat="1" applyBorder="1"/>
    <xf numFmtId="2" fontId="0" fillId="0" borderId="0" xfId="1" applyNumberFormat="1" applyFont="1" applyBorder="1"/>
    <xf numFmtId="2" fontId="1" fillId="0" borderId="0" xfId="1" applyNumberFormat="1" applyFont="1" applyBorder="1"/>
    <xf numFmtId="49" fontId="5" fillId="0" borderId="0" xfId="0" applyNumberFormat="1" applyFont="1"/>
    <xf numFmtId="167" fontId="3" fillId="0" borderId="0" xfId="0" applyNumberFormat="1" applyFont="1"/>
    <xf numFmtId="167" fontId="0" fillId="0" borderId="0" xfId="0" applyNumberFormat="1"/>
    <xf numFmtId="4" fontId="4" fillId="0" borderId="0" xfId="2" applyNumberFormat="1" applyFill="1" applyBorder="1" applyAlignment="1" applyProtection="1">
      <protection locked="0"/>
    </xf>
    <xf numFmtId="0" fontId="26" fillId="0" borderId="0" xfId="0" applyFont="1"/>
    <xf numFmtId="0" fontId="19" fillId="0" borderId="0" xfId="0" applyFont="1"/>
    <xf numFmtId="0" fontId="24" fillId="0" borderId="0" xfId="0" applyFont="1" applyAlignment="1">
      <alignment wrapText="1"/>
    </xf>
    <xf numFmtId="0" fontId="19" fillId="0" borderId="6" xfId="0" applyFont="1" applyBorder="1"/>
    <xf numFmtId="0" fontId="0" fillId="0" borderId="6" xfId="0" applyBorder="1" applyAlignment="1">
      <alignment horizontal="left" vertical="center" wrapText="1"/>
    </xf>
    <xf numFmtId="0" fontId="0" fillId="0" borderId="0" xfId="0" applyAlignment="1">
      <alignment vertical="center" wrapText="1"/>
    </xf>
    <xf numFmtId="0" fontId="24" fillId="0" borderId="0" xfId="0" applyFont="1"/>
    <xf numFmtId="14" fontId="0" fillId="0" borderId="6" xfId="0" applyNumberFormat="1" applyBorder="1"/>
    <xf numFmtId="165" fontId="2" fillId="8" borderId="0" xfId="0" applyNumberFormat="1" applyFont="1" applyFill="1"/>
    <xf numFmtId="0" fontId="0" fillId="8" borderId="0" xfId="0" applyFill="1"/>
    <xf numFmtId="0" fontId="0" fillId="3" borderId="6" xfId="0" applyFill="1" applyBorder="1"/>
    <xf numFmtId="0" fontId="0" fillId="8" borderId="6" xfId="0" applyFill="1" applyBorder="1"/>
    <xf numFmtId="166" fontId="0" fillId="0" borderId="0" xfId="0" applyNumberFormat="1"/>
    <xf numFmtId="165" fontId="0" fillId="3" borderId="0" xfId="0" applyNumberFormat="1" applyFill="1"/>
    <xf numFmtId="0" fontId="16" fillId="0" borderId="29" xfId="0" applyFont="1" applyBorder="1"/>
    <xf numFmtId="0" fontId="2" fillId="0" borderId="29" xfId="0" applyFont="1" applyBorder="1"/>
    <xf numFmtId="165" fontId="2" fillId="0" borderId="29" xfId="0" applyNumberFormat="1" applyFont="1" applyBorder="1"/>
    <xf numFmtId="165" fontId="2" fillId="3" borderId="29" xfId="0" applyNumberFormat="1" applyFont="1" applyFill="1" applyBorder="1"/>
    <xf numFmtId="0" fontId="2" fillId="0" borderId="0" xfId="0" applyFont="1" applyAlignment="1">
      <alignment wrapText="1"/>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vertical="center"/>
    </xf>
    <xf numFmtId="0" fontId="3" fillId="0" borderId="0" xfId="0" applyFont="1" applyAlignment="1">
      <alignment horizontal="left" wrapText="1"/>
    </xf>
    <xf numFmtId="0" fontId="0" fillId="0" borderId="0" xfId="0" applyAlignment="1">
      <alignment horizontal="right" vertical="center" wrapText="1"/>
    </xf>
    <xf numFmtId="0" fontId="5" fillId="0" borderId="0" xfId="0" applyFont="1" applyAlignment="1">
      <alignment horizontal="left" vertical="center" wrapText="1"/>
    </xf>
    <xf numFmtId="44" fontId="0" fillId="0" borderId="0" xfId="0" applyNumberFormat="1" applyAlignment="1">
      <alignment horizontal="left" vertical="center"/>
    </xf>
    <xf numFmtId="165" fontId="0" fillId="0" borderId="0" xfId="0" applyNumberFormat="1" applyAlignment="1">
      <alignment horizontal="left" vertical="center"/>
    </xf>
    <xf numFmtId="0" fontId="2" fillId="0" borderId="0" xfId="0" applyFont="1" applyAlignment="1">
      <alignment vertical="center" wrapText="1"/>
    </xf>
    <xf numFmtId="44" fontId="3" fillId="0" borderId="0" xfId="0" applyNumberFormat="1" applyFont="1"/>
    <xf numFmtId="44" fontId="0" fillId="0" borderId="0" xfId="0" applyNumberFormat="1" applyAlignment="1">
      <alignment vertical="center"/>
    </xf>
    <xf numFmtId="0" fontId="3" fillId="0" borderId="0" xfId="0" applyFont="1" applyAlignment="1">
      <alignment wrapText="1"/>
    </xf>
    <xf numFmtId="44" fontId="2" fillId="0" borderId="0" xfId="0" applyNumberFormat="1" applyFont="1" applyAlignment="1">
      <alignment vertical="center"/>
    </xf>
    <xf numFmtId="0" fontId="27" fillId="0" borderId="0" xfId="0" applyFont="1"/>
    <xf numFmtId="0" fontId="0" fillId="6" borderId="0" xfId="0" applyFill="1" applyProtection="1">
      <protection locked="0"/>
    </xf>
    <xf numFmtId="165" fontId="0" fillId="7" borderId="0" xfId="0" applyNumberFormat="1" applyFill="1" applyProtection="1">
      <protection locked="0"/>
    </xf>
    <xf numFmtId="0" fontId="0" fillId="0" borderId="0" xfId="0" applyProtection="1">
      <protection locked="0"/>
    </xf>
    <xf numFmtId="14" fontId="0" fillId="6" borderId="0" xfId="0" applyNumberFormat="1" applyFill="1" applyProtection="1">
      <protection locked="0"/>
    </xf>
    <xf numFmtId="165" fontId="0" fillId="6" borderId="0" xfId="0" applyNumberFormat="1" applyFill="1" applyProtection="1">
      <protection locked="0"/>
    </xf>
    <xf numFmtId="166" fontId="0" fillId="6" borderId="0" xfId="0" applyNumberFormat="1" applyFill="1" applyProtection="1">
      <protection locked="0"/>
    </xf>
    <xf numFmtId="0" fontId="0" fillId="6" borderId="5"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6" borderId="0" xfId="0" applyFill="1" applyAlignment="1" applyProtection="1">
      <alignment horizontal="center"/>
      <protection locked="0"/>
    </xf>
    <xf numFmtId="0" fontId="0" fillId="9" borderId="0" xfId="0" applyFill="1"/>
    <xf numFmtId="0" fontId="0" fillId="10" borderId="0" xfId="0" applyFill="1"/>
    <xf numFmtId="0" fontId="0" fillId="3" borderId="0" xfId="0" applyFill="1" applyBorder="1" applyAlignment="1">
      <alignment horizontal="right"/>
    </xf>
    <xf numFmtId="0" fontId="0" fillId="0" borderId="0" xfId="0" applyBorder="1"/>
    <xf numFmtId="2" fontId="0" fillId="0" borderId="0" xfId="0" applyNumberFormat="1" applyBorder="1"/>
    <xf numFmtId="3" fontId="0" fillId="0" borderId="0" xfId="0" applyNumberFormat="1" applyBorder="1"/>
    <xf numFmtId="0" fontId="2" fillId="0" borderId="0" xfId="0" applyFont="1" applyBorder="1"/>
    <xf numFmtId="10" fontId="0" fillId="0" borderId="0" xfId="1" applyNumberFormat="1" applyFont="1" applyFill="1" applyBorder="1" applyAlignment="1">
      <alignment horizontal="right"/>
    </xf>
    <xf numFmtId="164" fontId="1" fillId="0" borderId="0" xfId="1" applyNumberFormat="1" applyFont="1" applyBorder="1"/>
    <xf numFmtId="10" fontId="1" fillId="0" borderId="0" xfId="1" applyNumberFormat="1" applyFont="1" applyBorder="1"/>
    <xf numFmtId="2" fontId="2" fillId="0" borderId="0" xfId="0" applyNumberFormat="1" applyFont="1" applyBorder="1"/>
    <xf numFmtId="2" fontId="2" fillId="0" borderId="0" xfId="1" applyNumberFormat="1" applyFont="1" applyBorder="1"/>
    <xf numFmtId="3" fontId="0" fillId="0" borderId="9" xfId="0" applyNumberFormat="1" applyBorder="1"/>
    <xf numFmtId="2" fontId="1" fillId="0" borderId="21" xfId="1" applyNumberFormat="1" applyFont="1" applyBorder="1"/>
    <xf numFmtId="0" fontId="17" fillId="0" borderId="7" xfId="0" applyFont="1" applyBorder="1" applyAlignment="1">
      <alignment horizontal="right"/>
    </xf>
    <xf numFmtId="10" fontId="0" fillId="0" borderId="9" xfId="1" applyNumberFormat="1" applyFont="1" applyFill="1" applyBorder="1" applyAlignment="1">
      <alignment horizontal="right"/>
    </xf>
    <xf numFmtId="164" fontId="1" fillId="0" borderId="9" xfId="1" applyNumberFormat="1" applyFont="1" applyBorder="1"/>
    <xf numFmtId="10" fontId="1" fillId="0" borderId="9" xfId="1" applyNumberFormat="1" applyFont="1" applyBorder="1"/>
    <xf numFmtId="2" fontId="1" fillId="0" borderId="9" xfId="1" applyNumberFormat="1" applyFont="1" applyBorder="1"/>
    <xf numFmtId="2" fontId="2" fillId="0" borderId="9" xfId="1" applyNumberFormat="1" applyFont="1" applyBorder="1"/>
    <xf numFmtId="0" fontId="0" fillId="3" borderId="9" xfId="0" applyFill="1" applyBorder="1"/>
    <xf numFmtId="0" fontId="3" fillId="0" borderId="9" xfId="0" applyFont="1" applyBorder="1"/>
    <xf numFmtId="0" fontId="3" fillId="3" borderId="9" xfId="0" applyFont="1" applyFill="1" applyBorder="1"/>
    <xf numFmtId="0" fontId="16" fillId="0" borderId="9" xfId="0" applyFont="1" applyBorder="1"/>
    <xf numFmtId="0" fontId="3" fillId="0" borderId="21" xfId="0" applyFont="1" applyBorder="1"/>
    <xf numFmtId="0" fontId="17" fillId="0" borderId="0" xfId="0" applyFont="1" applyBorder="1" applyAlignment="1">
      <alignment horizontal="right"/>
    </xf>
    <xf numFmtId="9" fontId="0" fillId="0" borderId="0" xfId="0" applyNumberFormat="1" applyBorder="1"/>
    <xf numFmtId="0" fontId="17" fillId="0" borderId="31" xfId="0" applyFont="1" applyBorder="1" applyAlignment="1">
      <alignment horizontal="right"/>
    </xf>
    <xf numFmtId="0" fontId="0" fillId="3" borderId="10" xfId="0" applyFill="1" applyBorder="1" applyAlignment="1">
      <alignment horizontal="right"/>
    </xf>
    <xf numFmtId="3" fontId="4" fillId="6" borderId="10" xfId="2" applyNumberFormat="1" applyFill="1" applyBorder="1" applyAlignment="1" applyProtection="1">
      <protection locked="0"/>
    </xf>
    <xf numFmtId="9" fontId="4" fillId="6" borderId="10" xfId="1" applyFont="1" applyFill="1" applyBorder="1" applyAlignment="1" applyProtection="1">
      <protection locked="0"/>
    </xf>
    <xf numFmtId="9" fontId="0" fillId="0" borderId="10" xfId="0" applyNumberFormat="1" applyBorder="1"/>
    <xf numFmtId="10" fontId="0" fillId="0" borderId="10" xfId="1" applyNumberFormat="1" applyFont="1" applyFill="1" applyBorder="1" applyAlignment="1">
      <alignment horizontal="right"/>
    </xf>
    <xf numFmtId="164" fontId="1" fillId="0" borderId="10" xfId="1" applyNumberFormat="1" applyFont="1" applyBorder="1"/>
    <xf numFmtId="164" fontId="0" fillId="0" borderId="10" xfId="1" applyNumberFormat="1" applyFont="1" applyBorder="1"/>
    <xf numFmtId="10" fontId="1" fillId="0" borderId="10" xfId="1" applyNumberFormat="1" applyFont="1" applyBorder="1"/>
    <xf numFmtId="2" fontId="1" fillId="0" borderId="10" xfId="1" applyNumberFormat="1" applyFont="1" applyBorder="1"/>
    <xf numFmtId="2" fontId="2" fillId="0" borderId="10" xfId="0" applyNumberFormat="1" applyFont="1" applyBorder="1"/>
    <xf numFmtId="2" fontId="2" fillId="0" borderId="10" xfId="1" applyNumberFormat="1" applyFont="1" applyBorder="1"/>
    <xf numFmtId="2" fontId="1" fillId="0" borderId="16" xfId="1" applyNumberFormat="1" applyFont="1" applyBorder="1"/>
    <xf numFmtId="2" fontId="1" fillId="0" borderId="20" xfId="1" applyNumberFormat="1" applyFont="1" applyBorder="1"/>
    <xf numFmtId="2" fontId="1" fillId="0" borderId="22" xfId="1" applyNumberFormat="1" applyFont="1" applyBorder="1"/>
    <xf numFmtId="2" fontId="2" fillId="0" borderId="22" xfId="0" applyNumberFormat="1" applyFont="1" applyBorder="1"/>
    <xf numFmtId="49" fontId="17" fillId="0" borderId="31" xfId="0" applyNumberFormat="1" applyFont="1" applyBorder="1"/>
    <xf numFmtId="3" fontId="4" fillId="4" borderId="22" xfId="2" applyNumberFormat="1" applyFill="1" applyBorder="1" applyAlignment="1" applyProtection="1"/>
    <xf numFmtId="2" fontId="0" fillId="0" borderId="10" xfId="0" applyNumberFormat="1" applyBorder="1"/>
    <xf numFmtId="0" fontId="2" fillId="0" borderId="0" xfId="0" applyFont="1" applyAlignment="1">
      <alignment horizontal="left" vertical="top" wrapText="1"/>
    </xf>
    <xf numFmtId="165" fontId="2" fillId="3" borderId="29" xfId="0" applyNumberFormat="1" applyFont="1" applyFill="1" applyBorder="1"/>
    <xf numFmtId="0" fontId="2" fillId="8" borderId="0" xfId="0" applyFont="1" applyFill="1"/>
    <xf numFmtId="0" fontId="24" fillId="0" borderId="0" xfId="0" applyFont="1" applyAlignment="1">
      <alignment vertical="center" wrapText="1"/>
    </xf>
    <xf numFmtId="165" fontId="0" fillId="0" borderId="22" xfId="0" applyNumberFormat="1" applyBorder="1"/>
    <xf numFmtId="0" fontId="19" fillId="0" borderId="0" xfId="0" applyFont="1" applyAlignment="1"/>
    <xf numFmtId="0" fontId="0" fillId="0" borderId="0" xfId="0" applyAlignment="1"/>
    <xf numFmtId="0" fontId="2" fillId="0" borderId="0" xfId="0" applyFont="1" applyAlignment="1">
      <alignment horizontal="left" vertical="center" wrapText="1"/>
    </xf>
    <xf numFmtId="0" fontId="19" fillId="0" borderId="0" xfId="0" applyFont="1"/>
    <xf numFmtId="0" fontId="0" fillId="0" borderId="0" xfId="0" applyAlignment="1">
      <alignment vertical="center" wrapText="1"/>
    </xf>
    <xf numFmtId="0" fontId="2" fillId="0" borderId="0" xfId="0" applyFont="1" applyAlignment="1">
      <alignment wrapText="1"/>
    </xf>
    <xf numFmtId="165" fontId="0" fillId="0" borderId="0" xfId="0" applyNumberFormat="1"/>
    <xf numFmtId="0" fontId="2" fillId="0" borderId="0" xfId="0" applyFont="1" applyAlignment="1">
      <alignment vertical="top" wrapText="1"/>
    </xf>
    <xf numFmtId="0" fontId="20" fillId="5" borderId="0" xfId="0" applyFont="1" applyFill="1" applyAlignment="1">
      <alignment horizontal="left" vertical="center" wrapText="1"/>
    </xf>
  </cellXfs>
  <cellStyles count="4">
    <cellStyle name="Eingabe" xfId="2" builtinId="20"/>
    <cellStyle name="Prozent" xfId="1" builtinId="5"/>
    <cellStyle name="Standard" xfId="0" builtinId="0"/>
    <cellStyle name="Standard 4" xfId="3"/>
  </cellStyles>
  <dxfs count="49">
    <dxf>
      <fill>
        <patternFill>
          <bgColor theme="7" tint="0.7999816888943144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auto="1"/>
      </font>
      <fill>
        <patternFill>
          <fgColor theme="7" tint="0.79998168889431442"/>
          <bgColor theme="7" tint="0.79998168889431442"/>
        </patternFill>
      </fill>
      <border>
        <left/>
        <right/>
        <top/>
        <bottom/>
      </border>
    </dxf>
    <dxf>
      <font>
        <color theme="0"/>
      </font>
    </dxf>
    <dxf>
      <fill>
        <patternFill>
          <fgColor theme="7" tint="0.79998168889431442"/>
          <bgColor theme="7" tint="0.7999816888943144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7" tint="0.79998168889431442"/>
        </patternFill>
      </fill>
    </dxf>
    <dxf>
      <font>
        <color theme="0"/>
      </font>
      <fill>
        <patternFill>
          <fgColor theme="0"/>
          <bgColor theme="0"/>
        </patternFill>
      </fill>
    </dxf>
    <dxf>
      <fill>
        <patternFill>
          <fgColor theme="0"/>
          <bgColor theme="0"/>
        </patternFill>
      </fill>
    </dxf>
    <dxf>
      <fill>
        <patternFill>
          <fgColor theme="7" tint="0.79998168889431442"/>
          <bgColor theme="7" tint="0.7999816888943144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tint="-0.14996795556505021"/>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169994</xdr:colOff>
      <xdr:row>1</xdr:row>
      <xdr:rowOff>11628</xdr:rowOff>
    </xdr:from>
    <xdr:to>
      <xdr:col>16</xdr:col>
      <xdr:colOff>434451</xdr:colOff>
      <xdr:row>3</xdr:row>
      <xdr:rowOff>169684</xdr:rowOff>
    </xdr:to>
    <xdr:pic>
      <xdr:nvPicPr>
        <xdr:cNvPr id="4" name="Grafik 3">
          <a:extLst>
            <a:ext uri="{FF2B5EF4-FFF2-40B4-BE49-F238E27FC236}">
              <a16:creationId xmlns:a16="http://schemas.microsoft.com/office/drawing/2014/main" id="{74C0D208-4577-0D21-0AD7-DA6E1C783A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1729" y="179716"/>
          <a:ext cx="3626222" cy="505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7</xdr:row>
      <xdr:rowOff>238125</xdr:rowOff>
    </xdr:from>
    <xdr:to>
      <xdr:col>12</xdr:col>
      <xdr:colOff>742950</xdr:colOff>
      <xdr:row>10</xdr:row>
      <xdr:rowOff>200025</xdr:rowOff>
    </xdr:to>
    <xdr:sp macro="" textlink="">
      <xdr:nvSpPr>
        <xdr:cNvPr id="2" name="Textfeld 1"/>
        <xdr:cNvSpPr txBox="1"/>
      </xdr:nvSpPr>
      <xdr:spPr>
        <a:xfrm>
          <a:off x="5534025" y="1990725"/>
          <a:ext cx="5238750" cy="77152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b="1"/>
            <a:t>Herleitung der Berechnung des</a:t>
          </a:r>
          <a:r>
            <a:rPr lang="de-CH" sz="1400" b="1" baseline="0"/>
            <a:t> anspruchsberechtigten Einkommens Nur zur Info, kann nicht bearbeitet werden. Daten gemäss erster Seite.</a:t>
          </a:r>
          <a:endParaRPr lang="de-CH" sz="1400" b="1"/>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sheetPr>
  <dimension ref="A4:AC131"/>
  <sheetViews>
    <sheetView showGridLines="0" tabSelected="1" zoomScaleNormal="100" workbookViewId="0">
      <selection activeCell="F11" sqref="F11"/>
    </sheetView>
  </sheetViews>
  <sheetFormatPr baseColWidth="10" defaultColWidth="11.42578125" defaultRowHeight="12.75" x14ac:dyDescent="0.2"/>
  <cols>
    <col min="1" max="1" width="5" customWidth="1"/>
    <col min="2" max="2" width="17" customWidth="1"/>
    <col min="3" max="3" width="1" customWidth="1"/>
    <col min="4" max="4" width="30.85546875" customWidth="1"/>
    <col min="5" max="5" width="1.5703125" customWidth="1"/>
    <col min="6" max="6" width="22.7109375" customWidth="1"/>
    <col min="7" max="7" width="2.85546875" customWidth="1"/>
    <col min="8" max="8" width="31.28515625" customWidth="1"/>
    <col min="9" max="9" width="1" customWidth="1"/>
    <col min="10" max="10" width="20.7109375" customWidth="1"/>
    <col min="11" max="11" width="2.85546875" customWidth="1"/>
    <col min="12" max="12" width="14" customWidth="1"/>
    <col min="13" max="13" width="8" customWidth="1"/>
    <col min="14" max="14" width="8.140625" customWidth="1"/>
    <col min="15" max="15" width="8.42578125" customWidth="1"/>
    <col min="16" max="16" width="10.42578125" bestFit="1" customWidth="1"/>
    <col min="17" max="17" width="8.42578125" bestFit="1" customWidth="1"/>
    <col min="18" max="19" width="8.42578125" customWidth="1"/>
    <col min="20" max="20" width="10.42578125" hidden="1" customWidth="1"/>
    <col min="21" max="25" width="8.42578125" hidden="1" customWidth="1"/>
    <col min="26" max="26" width="7.140625" hidden="1" customWidth="1"/>
    <col min="27" max="27" width="8.28515625" hidden="1" customWidth="1"/>
    <col min="28" max="28" width="14.7109375" hidden="1" customWidth="1"/>
    <col min="29" max="29" width="10.42578125" hidden="1" customWidth="1"/>
    <col min="30" max="30" width="6.7109375" customWidth="1"/>
  </cols>
  <sheetData>
    <row r="4" spans="1:17" ht="27.75" x14ac:dyDescent="0.4">
      <c r="B4" s="138" t="s">
        <v>144</v>
      </c>
    </row>
    <row r="5" spans="1:17" ht="27.75" x14ac:dyDescent="0.4">
      <c r="B5" s="138"/>
    </row>
    <row r="6" spans="1:17" ht="52.5" customHeight="1" x14ac:dyDescent="0.2">
      <c r="B6" s="232" t="s">
        <v>152</v>
      </c>
      <c r="C6" s="232"/>
      <c r="D6" s="232"/>
      <c r="E6" s="232"/>
      <c r="F6" s="232"/>
      <c r="G6" s="232"/>
      <c r="H6" s="232"/>
      <c r="I6" s="232"/>
      <c r="J6" s="232"/>
      <c r="K6" s="232"/>
      <c r="L6" s="232"/>
      <c r="M6" s="232"/>
      <c r="N6" s="232"/>
      <c r="O6" s="232"/>
      <c r="P6" s="232"/>
      <c r="Q6" s="232"/>
    </row>
    <row r="7" spans="1:17" ht="23.25" x14ac:dyDescent="0.35">
      <c r="A7" s="139"/>
      <c r="B7" s="232" t="s">
        <v>137</v>
      </c>
      <c r="C7" s="232"/>
      <c r="D7" s="232"/>
      <c r="E7" s="232"/>
      <c r="F7" s="232"/>
      <c r="G7" s="232"/>
      <c r="H7" s="232"/>
      <c r="I7" s="232"/>
      <c r="J7" s="232"/>
      <c r="K7" s="232"/>
      <c r="L7" s="232"/>
      <c r="M7" s="232"/>
      <c r="N7" s="232"/>
      <c r="O7" s="232"/>
      <c r="P7" s="232"/>
      <c r="Q7" s="232"/>
    </row>
    <row r="8" spans="1:17" ht="23.25" x14ac:dyDescent="0.35">
      <c r="A8" s="139"/>
      <c r="B8" s="232"/>
      <c r="C8" s="232"/>
      <c r="D8" s="232"/>
      <c r="E8" s="232"/>
      <c r="F8" s="232"/>
      <c r="G8" s="232"/>
      <c r="H8" s="232"/>
      <c r="I8" s="232"/>
      <c r="J8" s="232"/>
      <c r="K8" s="232"/>
      <c r="L8" s="232"/>
      <c r="M8" s="232"/>
      <c r="N8" s="232"/>
      <c r="O8" s="232"/>
      <c r="P8" s="232"/>
      <c r="Q8" s="232"/>
    </row>
    <row r="9" spans="1:17" ht="23.25" x14ac:dyDescent="0.35">
      <c r="A9" s="139"/>
      <c r="B9" s="140"/>
      <c r="C9" s="140"/>
      <c r="D9" s="140"/>
      <c r="E9" s="140"/>
      <c r="F9" s="140"/>
      <c r="G9" s="140"/>
      <c r="H9" s="140"/>
      <c r="I9" s="140"/>
      <c r="J9" s="140"/>
      <c r="K9" s="140"/>
      <c r="L9" s="140"/>
      <c r="M9" s="140"/>
      <c r="N9" s="140"/>
      <c r="O9" s="140"/>
      <c r="P9" s="140"/>
      <c r="Q9" s="140"/>
    </row>
    <row r="10" spans="1:17" ht="3.6" customHeight="1" x14ac:dyDescent="0.35">
      <c r="A10" s="139"/>
      <c r="B10" s="10"/>
      <c r="C10" s="10"/>
      <c r="D10" s="10"/>
      <c r="E10" s="10"/>
      <c r="F10" s="10"/>
      <c r="G10" s="10"/>
      <c r="H10" s="10"/>
      <c r="I10" s="10"/>
      <c r="J10" s="10"/>
      <c r="K10" s="10"/>
      <c r="L10" s="10"/>
      <c r="M10" s="10"/>
      <c r="N10" s="10"/>
      <c r="O10" s="10"/>
      <c r="P10" s="10"/>
      <c r="Q10" s="10"/>
    </row>
    <row r="11" spans="1:17" ht="15" customHeight="1" x14ac:dyDescent="0.35">
      <c r="A11" s="139"/>
      <c r="B11" s="237" t="s">
        <v>106</v>
      </c>
      <c r="D11" s="59" t="s">
        <v>163</v>
      </c>
      <c r="F11" s="173" t="s">
        <v>105</v>
      </c>
      <c r="H11" s="59" t="s">
        <v>142</v>
      </c>
      <c r="J11" s="174"/>
      <c r="K11" s="127"/>
    </row>
    <row r="12" spans="1:17" ht="5.25" customHeight="1" x14ac:dyDescent="0.35">
      <c r="A12" s="139"/>
      <c r="B12" s="237"/>
    </row>
    <row r="13" spans="1:17" ht="27" customHeight="1" x14ac:dyDescent="0.35">
      <c r="A13" s="139"/>
      <c r="B13" s="139"/>
      <c r="D13" s="59" t="s">
        <v>3</v>
      </c>
      <c r="F13" s="174"/>
      <c r="H13" s="59" t="s">
        <v>143</v>
      </c>
      <c r="J13" s="174"/>
      <c r="K13" s="127"/>
    </row>
    <row r="14" spans="1:17" ht="5.25" customHeight="1" x14ac:dyDescent="0.35">
      <c r="A14" s="139"/>
      <c r="B14" s="139"/>
      <c r="H14" s="59"/>
    </row>
    <row r="15" spans="1:17" ht="15" customHeight="1" x14ac:dyDescent="0.35">
      <c r="A15" s="139"/>
      <c r="B15" s="139"/>
      <c r="D15" s="59" t="s">
        <v>4</v>
      </c>
      <c r="F15" s="174"/>
      <c r="H15" s="59" t="s">
        <v>6</v>
      </c>
      <c r="J15" s="174"/>
      <c r="K15" s="127"/>
    </row>
    <row r="16" spans="1:17" ht="5.25" customHeight="1" x14ac:dyDescent="0.35">
      <c r="A16" s="139"/>
      <c r="B16" s="139"/>
    </row>
    <row r="17" spans="1:29" ht="5.25" customHeight="1" x14ac:dyDescent="0.35">
      <c r="A17" s="139"/>
      <c r="B17" s="139"/>
    </row>
    <row r="18" spans="1:29" ht="15" customHeight="1" x14ac:dyDescent="0.35">
      <c r="A18" s="139"/>
      <c r="B18" s="139"/>
      <c r="D18" s="59" t="s">
        <v>131</v>
      </c>
      <c r="F18" s="173" t="s">
        <v>105</v>
      </c>
      <c r="H18" t="s">
        <v>120</v>
      </c>
      <c r="J18" s="175" t="s">
        <v>105</v>
      </c>
    </row>
    <row r="19" spans="1:29" ht="5.25" customHeight="1" x14ac:dyDescent="0.35">
      <c r="A19" s="139"/>
      <c r="B19" s="139"/>
      <c r="D19" s="59"/>
    </row>
    <row r="20" spans="1:29" ht="22.5" customHeight="1" x14ac:dyDescent="0.35">
      <c r="A20" s="139"/>
      <c r="D20" s="59"/>
    </row>
    <row r="21" spans="1:29" ht="5.25" customHeight="1" x14ac:dyDescent="0.35">
      <c r="A21" s="139"/>
      <c r="B21" s="141"/>
      <c r="C21" s="10"/>
      <c r="D21" s="142"/>
      <c r="E21" s="10"/>
      <c r="F21" s="10"/>
      <c r="G21" s="10"/>
      <c r="H21" s="10"/>
      <c r="I21" s="10"/>
      <c r="J21" s="10"/>
      <c r="K21" s="10"/>
      <c r="L21" s="10"/>
      <c r="M21" s="10"/>
      <c r="N21" s="10"/>
      <c r="O21" s="10"/>
      <c r="P21" s="10"/>
      <c r="Q21" s="10"/>
    </row>
    <row r="22" spans="1:29" ht="15" customHeight="1" x14ac:dyDescent="0.35">
      <c r="A22" s="139"/>
      <c r="B22" s="237" t="s">
        <v>34</v>
      </c>
      <c r="D22" s="82" t="s">
        <v>107</v>
      </c>
      <c r="F22" s="173" t="s">
        <v>187</v>
      </c>
      <c r="H22" t="s">
        <v>112</v>
      </c>
      <c r="J22" s="176"/>
      <c r="K22" s="79"/>
      <c r="L22" t="s">
        <v>129</v>
      </c>
      <c r="U22" t="s">
        <v>113</v>
      </c>
      <c r="V22" t="s">
        <v>114</v>
      </c>
      <c r="W22" t="s">
        <v>115</v>
      </c>
      <c r="X22" t="s">
        <v>116</v>
      </c>
      <c r="Y22" t="s">
        <v>117</v>
      </c>
      <c r="AB22" t="s">
        <v>125</v>
      </c>
      <c r="AC22">
        <f ca="1">DATEDIF(J22,TODAY(),"M")</f>
        <v>1490</v>
      </c>
    </row>
    <row r="23" spans="1:29" ht="5.25" customHeight="1" x14ac:dyDescent="0.35">
      <c r="A23" s="139"/>
      <c r="B23" s="237"/>
      <c r="D23" s="59"/>
      <c r="U23">
        <f t="shared" ref="U23:Y26" si="0">IF(M25="x",1,0)</f>
        <v>0</v>
      </c>
      <c r="V23">
        <f t="shared" si="0"/>
        <v>0</v>
      </c>
      <c r="W23">
        <f t="shared" si="0"/>
        <v>0</v>
      </c>
      <c r="X23">
        <f t="shared" si="0"/>
        <v>0</v>
      </c>
      <c r="Y23">
        <f t="shared" si="0"/>
        <v>0</v>
      </c>
    </row>
    <row r="24" spans="1:29" ht="15" customHeight="1" x14ac:dyDescent="0.35">
      <c r="A24" s="139"/>
      <c r="B24" s="139"/>
      <c r="D24" s="238" t="s">
        <v>2</v>
      </c>
      <c r="F24" s="173" t="s">
        <v>105</v>
      </c>
      <c r="H24" t="s">
        <v>130</v>
      </c>
      <c r="J24" s="173" t="s">
        <v>105</v>
      </c>
      <c r="M24" t="s">
        <v>113</v>
      </c>
      <c r="N24" t="s">
        <v>114</v>
      </c>
      <c r="O24" t="s">
        <v>115</v>
      </c>
      <c r="P24" t="s">
        <v>116</v>
      </c>
      <c r="Q24" t="s">
        <v>117</v>
      </c>
      <c r="U24">
        <f t="shared" si="0"/>
        <v>0</v>
      </c>
      <c r="V24">
        <f t="shared" si="0"/>
        <v>0</v>
      </c>
      <c r="W24">
        <f t="shared" si="0"/>
        <v>0</v>
      </c>
      <c r="X24">
        <f t="shared" si="0"/>
        <v>0</v>
      </c>
      <c r="Y24">
        <f t="shared" si="0"/>
        <v>0</v>
      </c>
      <c r="AB24" t="s">
        <v>132</v>
      </c>
      <c r="AC24">
        <f>SUM(U24:Y24)</f>
        <v>0</v>
      </c>
    </row>
    <row r="25" spans="1:29" ht="15" customHeight="1" x14ac:dyDescent="0.35">
      <c r="A25" s="139"/>
      <c r="B25" s="139"/>
      <c r="D25" s="238"/>
      <c r="F25" s="143"/>
      <c r="L25" t="s">
        <v>104</v>
      </c>
      <c r="M25" s="179"/>
      <c r="N25" s="180"/>
      <c r="O25" s="180"/>
      <c r="P25" s="180"/>
      <c r="Q25" s="180"/>
      <c r="U25">
        <f t="shared" si="0"/>
        <v>0</v>
      </c>
      <c r="V25">
        <f t="shared" si="0"/>
        <v>0</v>
      </c>
      <c r="W25">
        <f t="shared" si="0"/>
        <v>0</v>
      </c>
      <c r="X25">
        <f t="shared" si="0"/>
        <v>0</v>
      </c>
      <c r="Y25">
        <f t="shared" si="0"/>
        <v>0</v>
      </c>
    </row>
    <row r="26" spans="1:29" ht="15" customHeight="1" x14ac:dyDescent="0.35">
      <c r="A26" s="139"/>
      <c r="B26" s="139"/>
      <c r="D26" s="59" t="s">
        <v>1</v>
      </c>
      <c r="F26" s="177"/>
      <c r="G26" s="143"/>
      <c r="H26" t="s">
        <v>128</v>
      </c>
      <c r="L26" t="s">
        <v>102</v>
      </c>
      <c r="M26" s="181"/>
      <c r="N26" s="182"/>
      <c r="O26" s="182"/>
      <c r="P26" s="182"/>
      <c r="Q26" s="182"/>
      <c r="U26">
        <f t="shared" si="0"/>
        <v>0</v>
      </c>
      <c r="V26">
        <f t="shared" si="0"/>
        <v>0</v>
      </c>
      <c r="W26">
        <f t="shared" si="0"/>
        <v>0</v>
      </c>
      <c r="X26">
        <f t="shared" si="0"/>
        <v>0</v>
      </c>
      <c r="Y26">
        <f t="shared" si="0"/>
        <v>0</v>
      </c>
      <c r="Z26" t="s">
        <v>123</v>
      </c>
      <c r="AA26" t="s">
        <v>124</v>
      </c>
    </row>
    <row r="27" spans="1:29" ht="15.75" customHeight="1" x14ac:dyDescent="0.35">
      <c r="A27" s="139"/>
      <c r="B27" s="139"/>
      <c r="D27" s="59" t="s">
        <v>81</v>
      </c>
      <c r="F27" s="178"/>
      <c r="H27" s="60" t="s">
        <v>126</v>
      </c>
      <c r="J27" s="173"/>
      <c r="L27" t="s">
        <v>103</v>
      </c>
      <c r="M27" s="181"/>
      <c r="N27" s="182"/>
      <c r="O27" s="182"/>
      <c r="P27" s="182"/>
      <c r="Q27" s="182"/>
      <c r="T27" t="s">
        <v>118</v>
      </c>
      <c r="U27">
        <f>U23*4.5+U24*2.5+U25*3</f>
        <v>0</v>
      </c>
      <c r="V27">
        <f t="shared" ref="V27:Y27" si="1">V23*4.5+V24*2.5+V25*3</f>
        <v>0</v>
      </c>
      <c r="W27">
        <f t="shared" si="1"/>
        <v>0</v>
      </c>
      <c r="X27">
        <f t="shared" si="1"/>
        <v>0</v>
      </c>
      <c r="Y27">
        <f t="shared" si="1"/>
        <v>0</v>
      </c>
      <c r="Z27">
        <f>SUM(U27:Y27)</f>
        <v>0</v>
      </c>
      <c r="AA27">
        <f>Z27/10</f>
        <v>0</v>
      </c>
    </row>
    <row r="28" spans="1:29" ht="15" customHeight="1" x14ac:dyDescent="0.35">
      <c r="A28" s="139"/>
      <c r="B28" s="139"/>
      <c r="D28" s="59" t="s">
        <v>121</v>
      </c>
      <c r="F28" s="177"/>
      <c r="H28" s="60" t="s">
        <v>127</v>
      </c>
      <c r="J28" s="173"/>
      <c r="L28" t="s">
        <v>133</v>
      </c>
      <c r="M28" s="181"/>
      <c r="N28" s="182"/>
      <c r="O28" s="182"/>
      <c r="P28" s="182"/>
      <c r="Q28" s="182"/>
      <c r="T28" t="s">
        <v>119</v>
      </c>
      <c r="U28">
        <f>U23*1.5+U24*2.5+U25*2+U26*2</f>
        <v>0</v>
      </c>
      <c r="V28">
        <f>V23*1.5+V24*2.5+V25*2+V26*2</f>
        <v>0</v>
      </c>
      <c r="W28">
        <f>W23*1.5+W24*2.5+W25*2+W26*2</f>
        <v>0</v>
      </c>
      <c r="X28">
        <f>X23*1.5+X24*2.5+X25*2+X26*2</f>
        <v>0</v>
      </c>
      <c r="Y28">
        <f>Y23*1.5+Y24*2.5+Y25*2+Y26*2</f>
        <v>0</v>
      </c>
      <c r="Z28">
        <f>SUM(U28:Y28)</f>
        <v>0</v>
      </c>
      <c r="AA28">
        <f>Z28/8</f>
        <v>0</v>
      </c>
    </row>
    <row r="29" spans="1:29" ht="15" customHeight="1" x14ac:dyDescent="0.35">
      <c r="A29" s="139"/>
      <c r="B29" s="139"/>
      <c r="D29" s="59"/>
      <c r="F29" s="144"/>
    </row>
    <row r="30" spans="1:29" ht="4.1500000000000004" customHeight="1" x14ac:dyDescent="0.35">
      <c r="A30" s="139"/>
      <c r="B30" s="139"/>
      <c r="C30" s="10"/>
      <c r="D30" s="142"/>
      <c r="E30" s="10"/>
      <c r="F30" s="10"/>
      <c r="G30" s="10"/>
      <c r="H30" s="10"/>
      <c r="I30" s="10"/>
      <c r="J30" s="10"/>
      <c r="K30" s="10"/>
      <c r="L30" s="10"/>
      <c r="M30" s="10"/>
      <c r="N30" s="10"/>
      <c r="O30" s="10"/>
      <c r="P30" s="10"/>
      <c r="Q30" s="10"/>
    </row>
    <row r="31" spans="1:29" ht="15" customHeight="1" x14ac:dyDescent="0.35">
      <c r="A31" s="139"/>
      <c r="B31" s="139"/>
      <c r="D31" s="82" t="s">
        <v>108</v>
      </c>
      <c r="F31" s="173"/>
      <c r="H31" t="s">
        <v>112</v>
      </c>
      <c r="J31" s="176"/>
      <c r="K31" s="79"/>
      <c r="L31" t="s">
        <v>129</v>
      </c>
    </row>
    <row r="32" spans="1:29" ht="5.25" customHeight="1" x14ac:dyDescent="0.35">
      <c r="A32" s="139"/>
      <c r="B32" s="139"/>
      <c r="D32" s="59"/>
    </row>
    <row r="33" spans="1:29" ht="15" customHeight="1" x14ac:dyDescent="0.35">
      <c r="A33" s="139"/>
      <c r="B33" s="139"/>
      <c r="D33" s="238" t="s">
        <v>2</v>
      </c>
      <c r="F33" s="173" t="s">
        <v>105</v>
      </c>
      <c r="H33" t="s">
        <v>130</v>
      </c>
      <c r="J33" s="173" t="s">
        <v>105</v>
      </c>
      <c r="M33" t="s">
        <v>113</v>
      </c>
      <c r="N33" t="s">
        <v>114</v>
      </c>
      <c r="O33" t="s">
        <v>115</v>
      </c>
      <c r="P33" t="s">
        <v>116</v>
      </c>
      <c r="Q33" t="s">
        <v>117</v>
      </c>
      <c r="U33">
        <f t="shared" ref="U33:Y36" si="2">IF(M34="x",1,0)</f>
        <v>0</v>
      </c>
      <c r="V33">
        <f t="shared" si="2"/>
        <v>0</v>
      </c>
      <c r="W33">
        <f t="shared" si="2"/>
        <v>0</v>
      </c>
      <c r="X33">
        <f t="shared" si="2"/>
        <v>0</v>
      </c>
      <c r="Y33">
        <f t="shared" si="2"/>
        <v>0</v>
      </c>
      <c r="AB33" t="s">
        <v>125</v>
      </c>
      <c r="AC33">
        <f ca="1">DATEDIF(J31,TODAY(),"M")</f>
        <v>1490</v>
      </c>
    </row>
    <row r="34" spans="1:29" ht="15" customHeight="1" x14ac:dyDescent="0.35">
      <c r="A34" s="139"/>
      <c r="B34" s="139"/>
      <c r="D34" s="238"/>
      <c r="L34" t="s">
        <v>104</v>
      </c>
      <c r="M34" s="179"/>
      <c r="N34" s="180"/>
      <c r="O34" s="180"/>
      <c r="P34" s="180"/>
      <c r="Q34" s="180"/>
      <c r="U34">
        <f t="shared" si="2"/>
        <v>0</v>
      </c>
      <c r="V34">
        <f t="shared" si="2"/>
        <v>0</v>
      </c>
      <c r="W34">
        <f t="shared" si="2"/>
        <v>0</v>
      </c>
      <c r="X34">
        <f t="shared" si="2"/>
        <v>0</v>
      </c>
      <c r="Y34">
        <f t="shared" si="2"/>
        <v>0</v>
      </c>
    </row>
    <row r="35" spans="1:29" ht="15" customHeight="1" x14ac:dyDescent="0.35">
      <c r="A35" s="139"/>
      <c r="B35" s="139"/>
      <c r="D35" s="59" t="s">
        <v>1</v>
      </c>
      <c r="F35" s="177"/>
      <c r="H35" t="s">
        <v>128</v>
      </c>
      <c r="L35" t="s">
        <v>102</v>
      </c>
      <c r="M35" s="181"/>
      <c r="N35" s="182"/>
      <c r="O35" s="182"/>
      <c r="P35" s="182"/>
      <c r="Q35" s="182"/>
      <c r="U35">
        <f t="shared" si="2"/>
        <v>0</v>
      </c>
      <c r="V35">
        <f t="shared" si="2"/>
        <v>0</v>
      </c>
      <c r="W35">
        <f t="shared" si="2"/>
        <v>0</v>
      </c>
      <c r="X35">
        <f t="shared" si="2"/>
        <v>0</v>
      </c>
      <c r="Y35">
        <f t="shared" si="2"/>
        <v>0</v>
      </c>
      <c r="AB35" t="s">
        <v>132</v>
      </c>
      <c r="AC35">
        <f>SUM(U34:Y34)</f>
        <v>0</v>
      </c>
    </row>
    <row r="36" spans="1:29" ht="15" customHeight="1" x14ac:dyDescent="0.35">
      <c r="A36" s="139"/>
      <c r="B36" s="139"/>
      <c r="D36" s="59" t="s">
        <v>81</v>
      </c>
      <c r="F36" s="177"/>
      <c r="H36" s="60" t="s">
        <v>126</v>
      </c>
      <c r="J36" s="173"/>
      <c r="L36" t="s">
        <v>103</v>
      </c>
      <c r="M36" s="181"/>
      <c r="N36" s="182"/>
      <c r="O36" s="182"/>
      <c r="P36" s="182"/>
      <c r="Q36" s="182"/>
      <c r="U36">
        <f t="shared" si="2"/>
        <v>0</v>
      </c>
      <c r="V36">
        <f t="shared" si="2"/>
        <v>0</v>
      </c>
      <c r="W36">
        <f t="shared" si="2"/>
        <v>0</v>
      </c>
      <c r="X36">
        <f t="shared" si="2"/>
        <v>0</v>
      </c>
      <c r="Y36">
        <f t="shared" si="2"/>
        <v>0</v>
      </c>
      <c r="Z36" t="s">
        <v>123</v>
      </c>
      <c r="AA36" t="s">
        <v>124</v>
      </c>
    </row>
    <row r="37" spans="1:29" ht="15" customHeight="1" x14ac:dyDescent="0.35">
      <c r="A37" s="139"/>
      <c r="B37" s="139"/>
      <c r="D37" s="59" t="s">
        <v>121</v>
      </c>
      <c r="F37" s="177"/>
      <c r="H37" s="60" t="s">
        <v>127</v>
      </c>
      <c r="J37" s="173"/>
      <c r="L37" t="s">
        <v>133</v>
      </c>
      <c r="M37" s="181"/>
      <c r="N37" s="182"/>
      <c r="O37" s="182"/>
      <c r="P37" s="182"/>
      <c r="Q37" s="182"/>
      <c r="T37" t="s">
        <v>118</v>
      </c>
      <c r="U37">
        <f>U33*4.5+U34*2.5+U35*3</f>
        <v>0</v>
      </c>
      <c r="V37">
        <f t="shared" ref="V37:Y37" si="3">V33*4.5+V34*2.5+V35*3</f>
        <v>0</v>
      </c>
      <c r="W37">
        <f t="shared" si="3"/>
        <v>0</v>
      </c>
      <c r="X37">
        <f t="shared" si="3"/>
        <v>0</v>
      </c>
      <c r="Y37">
        <f t="shared" si="3"/>
        <v>0</v>
      </c>
      <c r="Z37">
        <f>SUM(U37:Y37)</f>
        <v>0</v>
      </c>
      <c r="AA37">
        <f>Z37/10</f>
        <v>0</v>
      </c>
    </row>
    <row r="38" spans="1:29" ht="15.6" customHeight="1" x14ac:dyDescent="0.35">
      <c r="A38" s="139"/>
      <c r="B38" s="139"/>
      <c r="D38" s="59"/>
      <c r="T38" t="s">
        <v>119</v>
      </c>
      <c r="U38">
        <f>U33*1.5+U34*2.5+U35*2+U36*2</f>
        <v>0</v>
      </c>
      <c r="V38">
        <f>V33*1.5+V34*2.5+V35*2+V36*2</f>
        <v>0</v>
      </c>
      <c r="W38">
        <f>W33*1.5+W34*2.5+W35*2+W36*2</f>
        <v>0</v>
      </c>
      <c r="X38">
        <f>X33*1.5+X34*2.5+X35*2+X36*2</f>
        <v>0</v>
      </c>
      <c r="Y38">
        <f>Y33*1.5+Y34*2.5+Y35*2+Y36*2</f>
        <v>0</v>
      </c>
      <c r="Z38">
        <f>SUM(U38:Y38)</f>
        <v>0</v>
      </c>
      <c r="AA38">
        <f>Z38/8</f>
        <v>0</v>
      </c>
    </row>
    <row r="39" spans="1:29" ht="4.1500000000000004" customHeight="1" x14ac:dyDescent="0.35">
      <c r="A39" s="139"/>
      <c r="B39" s="139"/>
      <c r="C39" s="10"/>
      <c r="D39" s="142"/>
      <c r="E39" s="10"/>
      <c r="F39" s="10"/>
      <c r="G39" s="10"/>
      <c r="H39" s="10"/>
      <c r="I39" s="10"/>
      <c r="J39" s="10"/>
      <c r="K39" s="10"/>
      <c r="L39" s="10"/>
      <c r="M39" s="10"/>
      <c r="N39" s="10"/>
      <c r="O39" s="10"/>
      <c r="P39" s="10"/>
      <c r="Q39" s="10"/>
    </row>
    <row r="40" spans="1:29" ht="15" customHeight="1" x14ac:dyDescent="0.35">
      <c r="A40" s="139"/>
      <c r="B40" s="139"/>
      <c r="D40" s="82" t="s">
        <v>109</v>
      </c>
      <c r="F40" s="173"/>
      <c r="H40" t="s">
        <v>112</v>
      </c>
      <c r="J40" s="176"/>
      <c r="K40" s="79"/>
      <c r="L40" t="s">
        <v>129</v>
      </c>
    </row>
    <row r="41" spans="1:29" ht="4.1500000000000004" customHeight="1" x14ac:dyDescent="0.35">
      <c r="A41" s="139"/>
      <c r="B41" s="139"/>
      <c r="D41" s="59"/>
    </row>
    <row r="42" spans="1:29" ht="15" customHeight="1" x14ac:dyDescent="0.35">
      <c r="A42" s="139"/>
      <c r="B42" s="139"/>
      <c r="D42" s="238" t="s">
        <v>2</v>
      </c>
      <c r="F42" s="173" t="s">
        <v>105</v>
      </c>
      <c r="H42" t="s">
        <v>130</v>
      </c>
      <c r="J42" s="173" t="s">
        <v>105</v>
      </c>
      <c r="M42" t="s">
        <v>113</v>
      </c>
      <c r="N42" t="s">
        <v>114</v>
      </c>
      <c r="O42" t="s">
        <v>115</v>
      </c>
      <c r="P42" t="s">
        <v>116</v>
      </c>
      <c r="Q42" t="s">
        <v>117</v>
      </c>
      <c r="U42">
        <f t="shared" ref="U42:Y45" si="4">IF(M43="x",1,0)</f>
        <v>0</v>
      </c>
      <c r="V42">
        <f t="shared" si="4"/>
        <v>0</v>
      </c>
      <c r="W42">
        <f t="shared" si="4"/>
        <v>0</v>
      </c>
      <c r="X42">
        <f t="shared" si="4"/>
        <v>0</v>
      </c>
      <c r="Y42">
        <f t="shared" si="4"/>
        <v>0</v>
      </c>
      <c r="AB42" t="s">
        <v>125</v>
      </c>
      <c r="AC42">
        <f ca="1">DATEDIF(J40,TODAY(),"M")</f>
        <v>1490</v>
      </c>
    </row>
    <row r="43" spans="1:29" ht="15" customHeight="1" x14ac:dyDescent="0.35">
      <c r="A43" s="139"/>
      <c r="B43" s="139"/>
      <c r="D43" s="238"/>
      <c r="L43" t="s">
        <v>104</v>
      </c>
      <c r="M43" s="179"/>
      <c r="N43" s="180"/>
      <c r="O43" s="180"/>
      <c r="P43" s="180"/>
      <c r="Q43" s="180"/>
      <c r="U43">
        <f t="shared" si="4"/>
        <v>0</v>
      </c>
      <c r="V43">
        <f t="shared" si="4"/>
        <v>0</v>
      </c>
      <c r="W43">
        <f t="shared" si="4"/>
        <v>0</v>
      </c>
      <c r="X43">
        <f t="shared" si="4"/>
        <v>0</v>
      </c>
      <c r="Y43">
        <f t="shared" si="4"/>
        <v>0</v>
      </c>
    </row>
    <row r="44" spans="1:29" ht="15" customHeight="1" x14ac:dyDescent="0.35">
      <c r="A44" s="139"/>
      <c r="B44" s="139"/>
      <c r="D44" s="59" t="s">
        <v>1</v>
      </c>
      <c r="F44" s="177"/>
      <c r="H44" t="s">
        <v>128</v>
      </c>
      <c r="L44" t="s">
        <v>102</v>
      </c>
      <c r="M44" s="181"/>
      <c r="N44" s="182"/>
      <c r="O44" s="182"/>
      <c r="P44" s="182"/>
      <c r="Q44" s="182"/>
      <c r="U44">
        <f t="shared" si="4"/>
        <v>0</v>
      </c>
      <c r="V44">
        <f t="shared" si="4"/>
        <v>0</v>
      </c>
      <c r="W44">
        <f t="shared" si="4"/>
        <v>0</v>
      </c>
      <c r="X44">
        <f t="shared" si="4"/>
        <v>0</v>
      </c>
      <c r="Y44">
        <f t="shared" si="4"/>
        <v>0</v>
      </c>
      <c r="AB44" t="s">
        <v>132</v>
      </c>
      <c r="AC44">
        <f>SUM(U43:Y43)</f>
        <v>0</v>
      </c>
    </row>
    <row r="45" spans="1:29" ht="15" customHeight="1" x14ac:dyDescent="0.35">
      <c r="A45" s="139"/>
      <c r="B45" s="139"/>
      <c r="D45" s="59" t="s">
        <v>81</v>
      </c>
      <c r="F45" s="177"/>
      <c r="H45" s="60" t="s">
        <v>126</v>
      </c>
      <c r="J45" s="173">
        <v>5</v>
      </c>
      <c r="L45" t="s">
        <v>103</v>
      </c>
      <c r="M45" s="181"/>
      <c r="N45" s="182"/>
      <c r="O45" s="182"/>
      <c r="P45" s="182"/>
      <c r="Q45" s="182"/>
      <c r="U45">
        <f t="shared" si="4"/>
        <v>0</v>
      </c>
      <c r="V45">
        <f t="shared" si="4"/>
        <v>0</v>
      </c>
      <c r="W45">
        <f t="shared" si="4"/>
        <v>0</v>
      </c>
      <c r="X45">
        <f t="shared" si="4"/>
        <v>0</v>
      </c>
      <c r="Y45">
        <f t="shared" si="4"/>
        <v>0</v>
      </c>
      <c r="Z45" t="s">
        <v>123</v>
      </c>
      <c r="AA45" t="s">
        <v>124</v>
      </c>
    </row>
    <row r="46" spans="1:29" ht="15" customHeight="1" x14ac:dyDescent="0.35">
      <c r="A46" s="139"/>
      <c r="B46" s="139"/>
      <c r="D46" s="59" t="s">
        <v>121</v>
      </c>
      <c r="F46" s="177"/>
      <c r="H46" s="60" t="s">
        <v>127</v>
      </c>
      <c r="J46" s="173">
        <v>10</v>
      </c>
      <c r="L46" t="s">
        <v>133</v>
      </c>
      <c r="M46" s="181"/>
      <c r="N46" s="182"/>
      <c r="O46" s="182"/>
      <c r="P46" s="182"/>
      <c r="Q46" s="182"/>
      <c r="T46" t="s">
        <v>118</v>
      </c>
      <c r="U46">
        <f>U42*4.5+U43*2.5+U44*3</f>
        <v>0</v>
      </c>
      <c r="V46">
        <f>V42*4.5+V43*2.5+V44*3</f>
        <v>0</v>
      </c>
      <c r="W46">
        <f>W42*4.5+W43*2.5+W44*3</f>
        <v>0</v>
      </c>
      <c r="X46">
        <f>X42*4.5+X43*2.5+X44*3</f>
        <v>0</v>
      </c>
      <c r="Y46">
        <f>Y42*4.5+Y43*2.5+Y44*3</f>
        <v>0</v>
      </c>
      <c r="Z46">
        <f>SUM(U46:Y46)</f>
        <v>0</v>
      </c>
      <c r="AA46">
        <f>Z46/10</f>
        <v>0</v>
      </c>
    </row>
    <row r="47" spans="1:29" ht="15" customHeight="1" x14ac:dyDescent="0.35">
      <c r="A47" s="139"/>
      <c r="B47" s="139"/>
      <c r="D47" s="59"/>
      <c r="T47" t="s">
        <v>119</v>
      </c>
      <c r="U47">
        <f>U42*1.5+U43*2.5+U44*2+U45*2</f>
        <v>0</v>
      </c>
      <c r="V47">
        <f>V42*1.5+V43*2.5+V44*2+V45*2</f>
        <v>0</v>
      </c>
      <c r="W47">
        <f>W42*1.5+W43*2.5+W44*2+W45*2</f>
        <v>0</v>
      </c>
      <c r="X47">
        <f>X42*1.5+X43*2.5+X44*2+X45*2</f>
        <v>0</v>
      </c>
      <c r="Y47">
        <f>Y42*1.5+Y43*2.5+Y44*2+Y45*2</f>
        <v>0</v>
      </c>
      <c r="Z47">
        <f>SUM(U47:Y47)</f>
        <v>0</v>
      </c>
      <c r="AA47">
        <f>Z47/8</f>
        <v>0</v>
      </c>
    </row>
    <row r="48" spans="1:29" ht="4.1500000000000004" customHeight="1" x14ac:dyDescent="0.35">
      <c r="A48" s="139"/>
      <c r="B48" s="139"/>
      <c r="C48" s="10"/>
      <c r="D48" s="142"/>
      <c r="E48" s="10"/>
      <c r="F48" s="10"/>
      <c r="G48" s="10"/>
      <c r="H48" s="10"/>
      <c r="I48" s="10"/>
      <c r="J48" s="10"/>
      <c r="K48" s="10"/>
      <c r="L48" s="10"/>
      <c r="M48" s="10"/>
      <c r="N48" s="10"/>
      <c r="O48" s="10"/>
      <c r="P48" s="10"/>
      <c r="Q48" s="10"/>
    </row>
    <row r="49" spans="1:29" ht="15" customHeight="1" x14ac:dyDescent="0.35">
      <c r="A49" s="139"/>
      <c r="B49" s="139"/>
      <c r="D49" s="82" t="s">
        <v>110</v>
      </c>
      <c r="F49" s="173"/>
      <c r="H49" t="s">
        <v>112</v>
      </c>
      <c r="J49" s="176"/>
      <c r="K49" s="79"/>
      <c r="L49" t="s">
        <v>129</v>
      </c>
    </row>
    <row r="50" spans="1:29" ht="5.25" customHeight="1" x14ac:dyDescent="0.35">
      <c r="A50" s="139"/>
      <c r="B50" s="139"/>
      <c r="D50" s="59"/>
    </row>
    <row r="51" spans="1:29" ht="15" customHeight="1" x14ac:dyDescent="0.35">
      <c r="A51" s="139"/>
      <c r="B51" s="139"/>
      <c r="D51" s="238" t="s">
        <v>2</v>
      </c>
      <c r="F51" s="173" t="s">
        <v>105</v>
      </c>
      <c r="H51" t="s">
        <v>130</v>
      </c>
      <c r="J51" s="173" t="s">
        <v>105</v>
      </c>
      <c r="M51" t="s">
        <v>113</v>
      </c>
      <c r="N51" t="s">
        <v>114</v>
      </c>
      <c r="O51" t="s">
        <v>115</v>
      </c>
      <c r="P51" t="s">
        <v>116</v>
      </c>
      <c r="Q51" t="s">
        <v>117</v>
      </c>
      <c r="U51">
        <f t="shared" ref="U51:Y54" si="5">IF(M52="x",1,0)</f>
        <v>0</v>
      </c>
      <c r="V51">
        <f t="shared" si="5"/>
        <v>0</v>
      </c>
      <c r="W51">
        <f t="shared" si="5"/>
        <v>0</v>
      </c>
      <c r="X51">
        <f t="shared" si="5"/>
        <v>0</v>
      </c>
      <c r="Y51">
        <f t="shared" si="5"/>
        <v>0</v>
      </c>
      <c r="AB51" t="s">
        <v>125</v>
      </c>
      <c r="AC51">
        <f ca="1">DATEDIF(J49,TODAY(),"M")</f>
        <v>1490</v>
      </c>
    </row>
    <row r="52" spans="1:29" ht="15" customHeight="1" x14ac:dyDescent="0.35">
      <c r="A52" s="139"/>
      <c r="B52" s="139"/>
      <c r="D52" s="238"/>
      <c r="L52" t="s">
        <v>104</v>
      </c>
      <c r="M52" s="179"/>
      <c r="N52" s="180"/>
      <c r="O52" s="180"/>
      <c r="P52" s="180"/>
      <c r="Q52" s="180"/>
      <c r="U52">
        <f t="shared" si="5"/>
        <v>0</v>
      </c>
      <c r="V52">
        <f t="shared" si="5"/>
        <v>0</v>
      </c>
      <c r="W52">
        <f t="shared" si="5"/>
        <v>0</v>
      </c>
      <c r="X52">
        <f t="shared" si="5"/>
        <v>0</v>
      </c>
      <c r="Y52">
        <f t="shared" si="5"/>
        <v>0</v>
      </c>
    </row>
    <row r="53" spans="1:29" ht="15" customHeight="1" x14ac:dyDescent="0.35">
      <c r="A53" s="139"/>
      <c r="B53" s="139"/>
      <c r="D53" s="59" t="s">
        <v>1</v>
      </c>
      <c r="F53" s="177"/>
      <c r="H53" t="s">
        <v>128</v>
      </c>
      <c r="L53" t="s">
        <v>102</v>
      </c>
      <c r="M53" s="181"/>
      <c r="N53" s="182"/>
      <c r="O53" s="182"/>
      <c r="P53" s="182"/>
      <c r="Q53" s="182"/>
      <c r="U53">
        <f t="shared" si="5"/>
        <v>0</v>
      </c>
      <c r="V53">
        <f t="shared" si="5"/>
        <v>0</v>
      </c>
      <c r="W53">
        <f t="shared" si="5"/>
        <v>0</v>
      </c>
      <c r="X53">
        <f t="shared" si="5"/>
        <v>0</v>
      </c>
      <c r="Y53">
        <f t="shared" si="5"/>
        <v>0</v>
      </c>
      <c r="AB53" t="s">
        <v>132</v>
      </c>
      <c r="AC53">
        <f>SUM(U52:Y52)</f>
        <v>0</v>
      </c>
    </row>
    <row r="54" spans="1:29" ht="15" customHeight="1" x14ac:dyDescent="0.35">
      <c r="A54" s="139"/>
      <c r="B54" s="139"/>
      <c r="D54" s="59" t="s">
        <v>81</v>
      </c>
      <c r="F54" s="177"/>
      <c r="H54" s="60" t="s">
        <v>126</v>
      </c>
      <c r="J54" s="173"/>
      <c r="L54" t="s">
        <v>103</v>
      </c>
      <c r="M54" s="181"/>
      <c r="N54" s="182"/>
      <c r="O54" s="182"/>
      <c r="P54" s="182"/>
      <c r="Q54" s="182"/>
      <c r="U54">
        <f t="shared" si="5"/>
        <v>0</v>
      </c>
      <c r="V54">
        <f t="shared" si="5"/>
        <v>0</v>
      </c>
      <c r="W54">
        <f t="shared" si="5"/>
        <v>0</v>
      </c>
      <c r="X54">
        <f t="shared" si="5"/>
        <v>0</v>
      </c>
      <c r="Y54">
        <f t="shared" si="5"/>
        <v>0</v>
      </c>
      <c r="Z54" t="s">
        <v>123</v>
      </c>
      <c r="AA54" t="s">
        <v>124</v>
      </c>
    </row>
    <row r="55" spans="1:29" ht="15" customHeight="1" x14ac:dyDescent="0.35">
      <c r="A55" s="139"/>
      <c r="B55" s="139"/>
      <c r="D55" s="59" t="s">
        <v>121</v>
      </c>
      <c r="F55" s="177"/>
      <c r="H55" s="60" t="s">
        <v>127</v>
      </c>
      <c r="J55" s="173"/>
      <c r="L55" t="s">
        <v>133</v>
      </c>
      <c r="M55" s="181"/>
      <c r="N55" s="182"/>
      <c r="O55" s="182"/>
      <c r="P55" s="182"/>
      <c r="Q55" s="182"/>
      <c r="T55" t="s">
        <v>118</v>
      </c>
      <c r="U55">
        <f>U51*4.5+U52*2.5+U53*3</f>
        <v>0</v>
      </c>
      <c r="V55">
        <f t="shared" ref="V55:Y55" si="6">V51*4.5+V52*2.5+V53*3</f>
        <v>0</v>
      </c>
      <c r="W55">
        <f t="shared" si="6"/>
        <v>0</v>
      </c>
      <c r="X55">
        <f t="shared" si="6"/>
        <v>0</v>
      </c>
      <c r="Y55">
        <f t="shared" si="6"/>
        <v>0</v>
      </c>
      <c r="Z55">
        <f>SUM(U55:Y55)</f>
        <v>0</v>
      </c>
      <c r="AA55">
        <f>Z55/10</f>
        <v>0</v>
      </c>
    </row>
    <row r="56" spans="1:29" ht="11.45" customHeight="1" x14ac:dyDescent="0.35">
      <c r="A56" s="139"/>
      <c r="B56" s="139"/>
      <c r="D56" s="59"/>
      <c r="T56" t="s">
        <v>119</v>
      </c>
      <c r="U56">
        <f>U51*1.5+U52*2.5+U53*2+U54*2</f>
        <v>0</v>
      </c>
      <c r="V56">
        <f>V51*1.5+V52*2.5+V53*2+V54*2</f>
        <v>0</v>
      </c>
      <c r="W56">
        <f>W51*1.5+W52*2.5+W53*2+W54*2</f>
        <v>0</v>
      </c>
      <c r="X56">
        <f>X51*1.5+X52*2.5+X53*2+X54*2</f>
        <v>0</v>
      </c>
      <c r="Y56">
        <f>Y51*1.5+Y52*2.5+Y53*2+Y54*2</f>
        <v>0</v>
      </c>
      <c r="Z56">
        <f>SUM(U56:Y56)</f>
        <v>0</v>
      </c>
      <c r="AA56">
        <f>Z56/8</f>
        <v>0</v>
      </c>
    </row>
    <row r="57" spans="1:29" ht="4.9000000000000004" customHeight="1" x14ac:dyDescent="0.35">
      <c r="A57" s="139"/>
      <c r="B57" s="139"/>
      <c r="C57" s="10"/>
      <c r="D57" s="142"/>
      <c r="E57" s="10"/>
      <c r="F57" s="10"/>
      <c r="G57" s="10"/>
      <c r="H57" s="10"/>
      <c r="I57" s="10"/>
      <c r="J57" s="10"/>
      <c r="K57" s="10"/>
      <c r="L57" s="10"/>
      <c r="M57" s="10"/>
      <c r="N57" s="10"/>
      <c r="O57" s="10"/>
      <c r="P57" s="10"/>
      <c r="Q57" s="10"/>
    </row>
    <row r="58" spans="1:29" ht="15" customHeight="1" x14ac:dyDescent="0.35">
      <c r="A58" s="139"/>
      <c r="B58" s="139"/>
      <c r="D58" s="82" t="s">
        <v>111</v>
      </c>
      <c r="F58" s="173"/>
      <c r="H58" t="s">
        <v>112</v>
      </c>
      <c r="J58" s="176"/>
      <c r="K58" s="79"/>
      <c r="L58" t="s">
        <v>129</v>
      </c>
    </row>
    <row r="59" spans="1:29" ht="5.25" customHeight="1" x14ac:dyDescent="0.35">
      <c r="A59" s="139"/>
      <c r="B59" s="139"/>
      <c r="D59" s="59"/>
      <c r="J59" s="79"/>
      <c r="K59" s="79"/>
    </row>
    <row r="60" spans="1:29" ht="15" customHeight="1" x14ac:dyDescent="0.35">
      <c r="A60" s="139"/>
      <c r="B60" s="139"/>
      <c r="D60" s="238" t="s">
        <v>2</v>
      </c>
      <c r="F60" s="173" t="s">
        <v>105</v>
      </c>
      <c r="H60" t="s">
        <v>130</v>
      </c>
      <c r="J60" s="173" t="s">
        <v>105</v>
      </c>
      <c r="M60" t="s">
        <v>113</v>
      </c>
      <c r="N60" t="s">
        <v>114</v>
      </c>
      <c r="O60" t="s">
        <v>115</v>
      </c>
      <c r="P60" t="s">
        <v>116</v>
      </c>
      <c r="Q60" t="s">
        <v>117</v>
      </c>
      <c r="U60">
        <f t="shared" ref="U60:Y63" si="7">IF(M61="x",1,0)</f>
        <v>0</v>
      </c>
      <c r="V60">
        <f t="shared" si="7"/>
        <v>0</v>
      </c>
      <c r="W60">
        <f t="shared" si="7"/>
        <v>0</v>
      </c>
      <c r="X60">
        <f t="shared" si="7"/>
        <v>0</v>
      </c>
      <c r="Y60">
        <f t="shared" si="7"/>
        <v>0</v>
      </c>
    </row>
    <row r="61" spans="1:29" ht="15" customHeight="1" x14ac:dyDescent="0.35">
      <c r="A61" s="139"/>
      <c r="B61" s="139"/>
      <c r="D61" s="238"/>
      <c r="L61" t="s">
        <v>104</v>
      </c>
      <c r="M61" s="179"/>
      <c r="N61" s="180"/>
      <c r="O61" s="180"/>
      <c r="P61" s="180"/>
      <c r="Q61" s="180"/>
      <c r="U61">
        <f t="shared" si="7"/>
        <v>0</v>
      </c>
      <c r="V61">
        <f t="shared" si="7"/>
        <v>0</v>
      </c>
      <c r="W61">
        <f t="shared" si="7"/>
        <v>0</v>
      </c>
      <c r="X61">
        <f t="shared" si="7"/>
        <v>0</v>
      </c>
      <c r="Y61">
        <f t="shared" si="7"/>
        <v>0</v>
      </c>
      <c r="AB61" t="s">
        <v>125</v>
      </c>
      <c r="AC61">
        <f ca="1">DATEDIF(J58,TODAY(),"M")</f>
        <v>1490</v>
      </c>
    </row>
    <row r="62" spans="1:29" ht="15" customHeight="1" x14ac:dyDescent="0.35">
      <c r="A62" s="139"/>
      <c r="B62" s="139"/>
      <c r="D62" s="59" t="s">
        <v>1</v>
      </c>
      <c r="F62" s="177"/>
      <c r="H62" t="s">
        <v>128</v>
      </c>
      <c r="L62" t="s">
        <v>102</v>
      </c>
      <c r="M62" s="181"/>
      <c r="N62" s="182"/>
      <c r="O62" s="182"/>
      <c r="P62" s="182"/>
      <c r="Q62" s="182"/>
      <c r="U62">
        <f t="shared" si="7"/>
        <v>0</v>
      </c>
      <c r="V62">
        <f t="shared" si="7"/>
        <v>0</v>
      </c>
      <c r="W62">
        <f t="shared" si="7"/>
        <v>0</v>
      </c>
      <c r="X62">
        <f t="shared" si="7"/>
        <v>0</v>
      </c>
      <c r="Y62">
        <f t="shared" si="7"/>
        <v>0</v>
      </c>
    </row>
    <row r="63" spans="1:29" ht="15" customHeight="1" x14ac:dyDescent="0.35">
      <c r="A63" s="139"/>
      <c r="B63" s="139"/>
      <c r="D63" s="59" t="s">
        <v>81</v>
      </c>
      <c r="F63" s="177"/>
      <c r="H63" s="60" t="s">
        <v>126</v>
      </c>
      <c r="J63" s="173"/>
      <c r="L63" t="s">
        <v>103</v>
      </c>
      <c r="M63" s="181"/>
      <c r="N63" s="182"/>
      <c r="O63" s="182"/>
      <c r="P63" s="182"/>
      <c r="Q63" s="182"/>
      <c r="U63">
        <f t="shared" si="7"/>
        <v>0</v>
      </c>
      <c r="V63">
        <f t="shared" si="7"/>
        <v>0</v>
      </c>
      <c r="W63">
        <f t="shared" si="7"/>
        <v>0</v>
      </c>
      <c r="X63">
        <f t="shared" si="7"/>
        <v>0</v>
      </c>
      <c r="Y63">
        <f t="shared" si="7"/>
        <v>0</v>
      </c>
      <c r="Z63" t="s">
        <v>123</v>
      </c>
      <c r="AA63" t="s">
        <v>124</v>
      </c>
      <c r="AB63" t="s">
        <v>132</v>
      </c>
      <c r="AC63">
        <f>SUM(U61:Y61)</f>
        <v>0</v>
      </c>
    </row>
    <row r="64" spans="1:29" ht="15" customHeight="1" x14ac:dyDescent="0.35">
      <c r="A64" s="139"/>
      <c r="B64" s="139"/>
      <c r="D64" s="59" t="s">
        <v>121</v>
      </c>
      <c r="F64" s="177"/>
      <c r="H64" s="60" t="s">
        <v>127</v>
      </c>
      <c r="J64" s="173"/>
      <c r="L64" t="s">
        <v>133</v>
      </c>
      <c r="M64" s="181"/>
      <c r="N64" s="182"/>
      <c r="O64" s="182"/>
      <c r="P64" s="182"/>
      <c r="Q64" s="182"/>
      <c r="T64" t="s">
        <v>118</v>
      </c>
      <c r="U64">
        <f>U60*4.5+U61*2.5+U62*3</f>
        <v>0</v>
      </c>
      <c r="V64">
        <f t="shared" ref="V64:Y64" si="8">V60*4.5+V61*2.5+V62*3</f>
        <v>0</v>
      </c>
      <c r="W64">
        <f t="shared" si="8"/>
        <v>0</v>
      </c>
      <c r="X64">
        <f t="shared" si="8"/>
        <v>0</v>
      </c>
      <c r="Y64">
        <f t="shared" si="8"/>
        <v>0</v>
      </c>
      <c r="Z64">
        <f>SUM(U64:Y64)</f>
        <v>0</v>
      </c>
      <c r="AA64">
        <f>Z64/10</f>
        <v>0</v>
      </c>
    </row>
    <row r="65" spans="1:27" ht="15" customHeight="1" x14ac:dyDescent="0.35">
      <c r="A65" s="139"/>
      <c r="B65" s="139"/>
      <c r="D65" s="59"/>
      <c r="J65" s="79"/>
      <c r="K65" s="79"/>
      <c r="T65" t="s">
        <v>119</v>
      </c>
      <c r="U65">
        <f>U60*1.5+U61*2.5+U62*2+U63*2</f>
        <v>0</v>
      </c>
      <c r="V65">
        <f t="shared" ref="V65:Y65" si="9">V60*1.5+V61*2.5+V62*2+V63*2</f>
        <v>0</v>
      </c>
      <c r="W65">
        <f t="shared" si="9"/>
        <v>0</v>
      </c>
      <c r="X65">
        <f t="shared" si="9"/>
        <v>0</v>
      </c>
      <c r="Y65">
        <f t="shared" si="9"/>
        <v>0</v>
      </c>
      <c r="Z65">
        <f>SUM(U65:Y65)</f>
        <v>0</v>
      </c>
      <c r="AA65">
        <f>Z65/8</f>
        <v>0</v>
      </c>
    </row>
    <row r="66" spans="1:27" ht="13.15" customHeight="1" x14ac:dyDescent="0.35">
      <c r="A66" s="139"/>
      <c r="B66" s="139"/>
      <c r="D66" s="59"/>
      <c r="J66" s="79"/>
      <c r="K66" s="79"/>
    </row>
    <row r="67" spans="1:27" ht="4.1500000000000004" customHeight="1" x14ac:dyDescent="0.35">
      <c r="A67" s="139"/>
      <c r="B67" s="141"/>
      <c r="C67" s="10"/>
      <c r="D67" s="142"/>
      <c r="E67" s="10"/>
      <c r="F67" s="10"/>
      <c r="G67" s="10"/>
      <c r="H67" s="10"/>
      <c r="I67" s="10"/>
      <c r="J67" s="145"/>
      <c r="K67" s="145"/>
      <c r="L67" s="10"/>
      <c r="M67" s="10"/>
      <c r="N67" s="10"/>
      <c r="O67" s="10"/>
      <c r="P67" s="10"/>
      <c r="Q67" s="10"/>
    </row>
    <row r="68" spans="1:27" ht="18.75" customHeight="1" x14ac:dyDescent="0.2">
      <c r="B68" s="234" t="s">
        <v>147</v>
      </c>
      <c r="C68" s="234"/>
      <c r="D68" s="234"/>
      <c r="E68" s="234"/>
      <c r="F68" s="234"/>
      <c r="G68" s="234"/>
      <c r="H68" s="234"/>
      <c r="I68" s="235"/>
      <c r="J68" s="235"/>
    </row>
    <row r="69" spans="1:27" ht="3.6" customHeight="1" x14ac:dyDescent="0.2">
      <c r="B69" s="234"/>
      <c r="C69" s="234"/>
      <c r="D69" s="234"/>
      <c r="E69" s="234"/>
      <c r="F69" s="234"/>
      <c r="G69" s="234"/>
      <c r="H69" s="234"/>
      <c r="I69" s="235"/>
      <c r="J69" s="235"/>
    </row>
    <row r="70" spans="1:27" ht="15" customHeight="1" x14ac:dyDescent="0.2"/>
    <row r="71" spans="1:27" ht="23.45" customHeight="1" x14ac:dyDescent="0.2">
      <c r="B71" s="231" t="s">
        <v>19</v>
      </c>
      <c r="C71" s="231"/>
      <c r="D71" s="231"/>
      <c r="E71" s="231"/>
      <c r="F71" s="146">
        <f>'Berechnung Einkommen'!E27</f>
        <v>0</v>
      </c>
    </row>
    <row r="72" spans="1:27" ht="15" customHeight="1" x14ac:dyDescent="0.2"/>
    <row r="73" spans="1:27" ht="15" customHeight="1" x14ac:dyDescent="0.2">
      <c r="D73" t="s">
        <v>136</v>
      </c>
      <c r="F73" t="s">
        <v>7</v>
      </c>
      <c r="H73" s="16" t="s">
        <v>8</v>
      </c>
      <c r="I73" s="147"/>
      <c r="J73" t="s">
        <v>138</v>
      </c>
      <c r="N73" s="64"/>
      <c r="O73" s="64"/>
    </row>
    <row r="74" spans="1:27" ht="4.1500000000000004" customHeight="1" x14ac:dyDescent="0.2">
      <c r="B74" s="10"/>
      <c r="C74" s="10"/>
      <c r="D74" s="10"/>
      <c r="E74" s="10"/>
      <c r="F74" s="10"/>
      <c r="G74" s="10"/>
      <c r="H74" s="148"/>
      <c r="I74" s="149"/>
      <c r="J74" s="10"/>
      <c r="K74" s="10"/>
      <c r="L74" s="10"/>
      <c r="M74" s="10"/>
      <c r="N74" s="10"/>
      <c r="O74" s="10"/>
      <c r="P74" s="10"/>
      <c r="Q74" s="10"/>
    </row>
    <row r="75" spans="1:27" ht="15" customHeight="1" x14ac:dyDescent="0.2">
      <c r="B75" t="s">
        <v>107</v>
      </c>
      <c r="D75" t="str">
        <f>F22</f>
        <v>Betreuungsart auswählen</v>
      </c>
      <c r="F75" s="150" t="e">
        <f ca="1">SUM('Rechner Kita SE'!C51,'Rechner TFO'!C58,'Rechner Mittagstisch'!C44)</f>
        <v>#VALUE!</v>
      </c>
      <c r="H75" s="151" t="e">
        <f ca="1">SUM('Rechner Kita SE'!C52,'Rechner TFO'!C59,'Rechner Mittagstisch'!C47)</f>
        <v>#VALUE!</v>
      </c>
      <c r="I75" s="147"/>
      <c r="K75" s="240">
        <f>SUM('Rechner Kita SE'!C53,'Rechner TFO'!C60,'Rechner Mittagstisch'!C48)</f>
        <v>0</v>
      </c>
      <c r="L75" s="240"/>
    </row>
    <row r="76" spans="1:27" ht="4.1500000000000004" customHeight="1" x14ac:dyDescent="0.2">
      <c r="H76" s="16"/>
      <c r="I76" s="147"/>
    </row>
    <row r="77" spans="1:27" ht="15" customHeight="1" x14ac:dyDescent="0.2">
      <c r="B77" t="s">
        <v>108</v>
      </c>
      <c r="D77">
        <f>F31</f>
        <v>0</v>
      </c>
      <c r="F77" s="127">
        <f ca="1">SUM('Rechner Kita SE'!E51,'Rechner TFO'!E58,'Rechner Mittagstisch'!E46)</f>
        <v>0</v>
      </c>
      <c r="H77" s="151">
        <f ca="1">SUM('Rechner Kita SE'!E52,'Rechner TFO'!E59,'Rechner Mittagstisch'!E47)</f>
        <v>0</v>
      </c>
      <c r="I77" s="147"/>
      <c r="K77" s="240">
        <f>SUM('Rechner Kita SE'!E53,'Rechner TFO'!E60,'Rechner Mittagstisch'!E48)</f>
        <v>0</v>
      </c>
      <c r="L77" s="240"/>
    </row>
    <row r="78" spans="1:27" ht="4.1500000000000004" customHeight="1" x14ac:dyDescent="0.2">
      <c r="H78" s="16"/>
      <c r="I78" s="147"/>
    </row>
    <row r="79" spans="1:27" ht="15" customHeight="1" x14ac:dyDescent="0.2">
      <c r="B79" t="s">
        <v>109</v>
      </c>
      <c r="D79">
        <f>F40</f>
        <v>0</v>
      </c>
      <c r="F79" s="127" t="e">
        <f ca="1">SUM('Rechner Kita SE'!G51,'Rechner TFO'!G58,'Rechner Mittagstisch'!G46)</f>
        <v>#VALUE!</v>
      </c>
      <c r="H79" s="151" t="e">
        <f ca="1">SUM('Rechner Kita SE'!G52,'Rechner TFO'!G59,'Rechner Mittagstisch'!G47)</f>
        <v>#VALUE!</v>
      </c>
      <c r="I79" s="147"/>
      <c r="K79" s="240">
        <f>SUM('Rechner Kita SE'!G53,'Rechner TFO'!G60,'Rechner Mittagstisch'!G48)</f>
        <v>0</v>
      </c>
      <c r="L79" s="240"/>
    </row>
    <row r="80" spans="1:27" ht="4.1500000000000004" customHeight="1" x14ac:dyDescent="0.2">
      <c r="H80" s="16"/>
      <c r="I80" s="147"/>
    </row>
    <row r="81" spans="2:17" ht="15" customHeight="1" x14ac:dyDescent="0.2">
      <c r="B81" t="s">
        <v>110</v>
      </c>
      <c r="D81">
        <f>F49</f>
        <v>0</v>
      </c>
      <c r="F81" s="127">
        <f ca="1">SUM('Rechner Kita SE'!I51,'Rechner TFO'!I58,'Rechner Mittagstisch'!I46)</f>
        <v>0</v>
      </c>
      <c r="H81" s="151">
        <f ca="1">SUM('Rechner Kita SE'!I52,'Rechner TFO'!I59,'Rechner Mittagstisch'!I47)</f>
        <v>0</v>
      </c>
      <c r="I81" s="147"/>
      <c r="K81" s="240">
        <f>SUM('Rechner Kita SE'!I53,'Rechner TFO'!I60,'Rechner Mittagstisch'!I48)</f>
        <v>0</v>
      </c>
      <c r="L81" s="240"/>
    </row>
    <row r="82" spans="2:17" ht="4.1500000000000004" customHeight="1" x14ac:dyDescent="0.2">
      <c r="H82" s="16"/>
      <c r="I82" s="147"/>
    </row>
    <row r="83" spans="2:17" ht="15" customHeight="1" x14ac:dyDescent="0.2">
      <c r="B83" t="s">
        <v>111</v>
      </c>
      <c r="D83">
        <f>F58</f>
        <v>0</v>
      </c>
      <c r="F83" s="127">
        <f ca="1">SUM('Rechner Kita SE'!K51,'Rechner TFO'!K58,'Rechner Mittagstisch'!K46)</f>
        <v>0</v>
      </c>
      <c r="H83" s="151">
        <f ca="1">SUM('Rechner Kita SE'!K52,'Rechner TFO'!K59,'Rechner Mittagstisch'!K47)</f>
        <v>0</v>
      </c>
      <c r="I83" s="147"/>
      <c r="K83" s="233">
        <f>SUM('Rechner Kita SE'!K53,'Rechner TFO'!K60,'Rechner Mittagstisch'!K48)</f>
        <v>0</v>
      </c>
      <c r="L83" s="233"/>
    </row>
    <row r="84" spans="2:17" ht="5.45" customHeight="1" x14ac:dyDescent="0.2">
      <c r="D84" s="10"/>
      <c r="E84" s="10"/>
      <c r="F84" s="10"/>
      <c r="G84" s="10"/>
      <c r="H84" s="148"/>
      <c r="I84" s="149"/>
      <c r="J84" s="10"/>
      <c r="K84" s="10"/>
      <c r="L84" s="10"/>
      <c r="M84" s="10"/>
      <c r="N84" s="10"/>
      <c r="O84" s="10"/>
      <c r="P84" s="10"/>
      <c r="Q84" s="10"/>
    </row>
    <row r="85" spans="2:17" ht="15" customHeight="1" thickBot="1" x14ac:dyDescent="0.25">
      <c r="B85" s="152" t="s">
        <v>122</v>
      </c>
      <c r="C85" s="73"/>
      <c r="D85" s="73"/>
      <c r="E85" s="153"/>
      <c r="F85" s="154">
        <f ca="1">IFERROR(SUM(F75:F83),0)</f>
        <v>0</v>
      </c>
      <c r="G85" s="153"/>
      <c r="H85" s="155">
        <f ca="1">IFERROR(SUM(H75:H83),0)</f>
        <v>0</v>
      </c>
      <c r="I85" s="155">
        <f t="shared" ref="I85" si="10">SUM(I75:I83)</f>
        <v>0</v>
      </c>
      <c r="J85" s="155"/>
      <c r="K85" s="230">
        <f>SUM(K75:L83)</f>
        <v>0</v>
      </c>
      <c r="L85" s="230"/>
      <c r="M85" s="153"/>
      <c r="N85" s="153"/>
      <c r="O85" s="153"/>
      <c r="P85" s="73"/>
      <c r="Q85" s="73"/>
    </row>
    <row r="86" spans="2:17" ht="15" customHeight="1" x14ac:dyDescent="0.2"/>
    <row r="87" spans="2:17" ht="15" customHeight="1" x14ac:dyDescent="0.2">
      <c r="B87" s="241" t="s">
        <v>161</v>
      </c>
      <c r="C87" s="241"/>
      <c r="D87" s="241"/>
      <c r="E87" s="241"/>
      <c r="F87" s="241"/>
      <c r="G87" s="241"/>
      <c r="H87" s="241"/>
      <c r="I87" s="241"/>
      <c r="J87" s="241"/>
      <c r="K87" s="241"/>
      <c r="L87" s="241"/>
      <c r="M87" s="241"/>
      <c r="N87" s="241"/>
      <c r="O87" s="241"/>
      <c r="P87" s="241"/>
      <c r="Q87" s="241"/>
    </row>
    <row r="88" spans="2:17" ht="15" customHeight="1" x14ac:dyDescent="0.2"/>
    <row r="89" spans="2:17" ht="26.45" customHeight="1" x14ac:dyDescent="0.2">
      <c r="B89" s="239" t="s">
        <v>145</v>
      </c>
      <c r="C89" s="239"/>
      <c r="D89" s="239"/>
      <c r="E89" s="239"/>
      <c r="F89" s="239"/>
      <c r="G89" s="239"/>
      <c r="H89" s="239"/>
      <c r="I89" s="239"/>
      <c r="J89" s="239"/>
      <c r="K89" s="239"/>
      <c r="L89" s="239"/>
      <c r="M89" s="239"/>
      <c r="N89" s="239"/>
      <c r="O89" s="239"/>
      <c r="P89" s="239"/>
      <c r="Q89" s="239"/>
    </row>
    <row r="90" spans="2:17" x14ac:dyDescent="0.2">
      <c r="D90" s="54"/>
      <c r="E90" s="54"/>
    </row>
    <row r="91" spans="2:17" s="19" customFormat="1" ht="34.5" customHeight="1" x14ac:dyDescent="0.2">
      <c r="B91" s="229" t="s">
        <v>154</v>
      </c>
      <c r="C91" s="229"/>
      <c r="D91" s="229"/>
      <c r="E91" s="229"/>
      <c r="F91" s="229"/>
      <c r="G91" s="229"/>
      <c r="H91" s="229"/>
      <c r="I91" s="229"/>
      <c r="J91" s="229"/>
      <c r="K91" s="229"/>
      <c r="L91" s="229"/>
      <c r="M91" s="229"/>
      <c r="N91" s="229"/>
      <c r="Q91"/>
    </row>
    <row r="92" spans="2:17" s="157" customFormat="1" ht="29.25" customHeight="1" x14ac:dyDescent="0.2">
      <c r="D92" s="59"/>
      <c r="E92" s="59"/>
      <c r="F92" s="158"/>
      <c r="G92" s="159"/>
      <c r="H92" s="160"/>
    </row>
    <row r="93" spans="2:17" s="157" customFormat="1" ht="29.25" customHeight="1" x14ac:dyDescent="0.2">
      <c r="D93" s="59"/>
      <c r="E93" s="59"/>
      <c r="F93" s="158"/>
      <c r="G93" s="159"/>
      <c r="H93" s="160"/>
    </row>
    <row r="94" spans="2:17" s="157" customFormat="1" ht="29.25" customHeight="1" x14ac:dyDescent="0.2">
      <c r="D94" s="59"/>
      <c r="E94" s="59"/>
      <c r="F94" s="159"/>
      <c r="G94" s="159"/>
      <c r="H94" s="160"/>
    </row>
    <row r="95" spans="2:17" s="157" customFormat="1" ht="29.25" customHeight="1" x14ac:dyDescent="0.2">
      <c r="D95" s="59"/>
      <c r="E95" s="59"/>
      <c r="F95" s="159"/>
      <c r="G95" s="159"/>
      <c r="H95" s="160"/>
    </row>
    <row r="96" spans="2:17" s="157" customFormat="1" x14ac:dyDescent="0.2">
      <c r="D96" s="59"/>
      <c r="E96" s="59"/>
      <c r="H96" s="160"/>
    </row>
    <row r="97" spans="4:8" s="157" customFormat="1" x14ac:dyDescent="0.2">
      <c r="D97" s="82"/>
      <c r="E97" s="82"/>
      <c r="H97" s="160"/>
    </row>
    <row r="98" spans="4:8" s="19" customFormat="1" ht="25.5" customHeight="1" x14ac:dyDescent="0.2">
      <c r="D98" s="59"/>
    </row>
    <row r="99" spans="4:8" s="157" customFormat="1" ht="25.5" customHeight="1" x14ac:dyDescent="0.2">
      <c r="D99" s="161"/>
      <c r="E99" s="59"/>
      <c r="F99" s="159"/>
      <c r="G99" s="159"/>
      <c r="H99" s="162"/>
    </row>
    <row r="100" spans="4:8" s="157" customFormat="1" ht="29.25" customHeight="1" x14ac:dyDescent="0.2">
      <c r="D100" s="163"/>
      <c r="E100" s="59"/>
      <c r="F100" s="159"/>
      <c r="G100" s="159"/>
      <c r="H100" s="162"/>
    </row>
    <row r="101" spans="4:8" s="157" customFormat="1" ht="29.25" customHeight="1" x14ac:dyDescent="0.2">
      <c r="D101" s="163"/>
      <c r="E101" s="59"/>
      <c r="F101" s="159"/>
      <c r="G101" s="159"/>
      <c r="H101" s="162"/>
    </row>
    <row r="102" spans="4:8" s="157" customFormat="1" ht="29.25" customHeight="1" x14ac:dyDescent="0.2">
      <c r="D102" s="163"/>
      <c r="E102" s="59"/>
      <c r="F102" s="159"/>
      <c r="G102" s="159"/>
      <c r="H102" s="162"/>
    </row>
    <row r="103" spans="4:8" s="157" customFormat="1" ht="29.25" customHeight="1" x14ac:dyDescent="0.2">
      <c r="D103" s="163"/>
      <c r="E103" s="59"/>
      <c r="F103" s="159"/>
      <c r="G103" s="159"/>
      <c r="H103" s="162"/>
    </row>
    <row r="104" spans="4:8" s="157" customFormat="1" ht="29.25" customHeight="1" x14ac:dyDescent="0.2">
      <c r="D104" s="163"/>
      <c r="E104" s="59"/>
      <c r="F104" s="159"/>
      <c r="G104" s="159"/>
      <c r="H104" s="162"/>
    </row>
    <row r="105" spans="4:8" s="157" customFormat="1" ht="29.25" customHeight="1" x14ac:dyDescent="0.2">
      <c r="D105" s="163"/>
      <c r="E105" s="59"/>
      <c r="F105" s="159"/>
      <c r="G105" s="159"/>
      <c r="H105" s="162"/>
    </row>
    <row r="106" spans="4:8" s="157" customFormat="1" ht="29.25" customHeight="1" x14ac:dyDescent="0.2">
      <c r="D106" s="59"/>
      <c r="E106" s="59"/>
      <c r="F106" s="159"/>
      <c r="G106" s="159"/>
      <c r="H106" s="160"/>
    </row>
    <row r="107" spans="4:8" s="157" customFormat="1" ht="29.25" customHeight="1" x14ac:dyDescent="0.2">
      <c r="D107" s="164"/>
      <c r="E107" s="59"/>
      <c r="F107" s="159"/>
      <c r="G107" s="159"/>
      <c r="H107" s="160"/>
    </row>
    <row r="108" spans="4:8" s="157" customFormat="1" x14ac:dyDescent="0.2">
      <c r="D108" s="59"/>
      <c r="E108" s="59"/>
      <c r="H108" s="160"/>
    </row>
    <row r="109" spans="4:8" s="157" customFormat="1" x14ac:dyDescent="0.2">
      <c r="D109" s="82"/>
      <c r="E109" s="82"/>
      <c r="H109" s="160"/>
    </row>
    <row r="110" spans="4:8" s="19" customFormat="1" x14ac:dyDescent="0.2"/>
    <row r="111" spans="4:8" s="157" customFormat="1" ht="29.25" customHeight="1" x14ac:dyDescent="0.2">
      <c r="D111" s="59"/>
      <c r="E111" s="59"/>
      <c r="H111" s="162"/>
    </row>
    <row r="112" spans="4:8" s="157" customFormat="1" x14ac:dyDescent="0.2">
      <c r="D112" s="59"/>
      <c r="E112" s="59"/>
      <c r="H112" s="160"/>
    </row>
    <row r="113" spans="3:9" s="157" customFormat="1" x14ac:dyDescent="0.2">
      <c r="D113" s="236"/>
      <c r="E113" s="236"/>
      <c r="F113" s="236"/>
      <c r="H113" s="160"/>
    </row>
    <row r="114" spans="3:9" s="19" customFormat="1" x14ac:dyDescent="0.2"/>
    <row r="115" spans="3:9" s="157" customFormat="1" ht="29.25" customHeight="1" x14ac:dyDescent="0.2">
      <c r="D115" s="59"/>
      <c r="E115" s="59"/>
      <c r="F115" s="165"/>
      <c r="G115" s="165"/>
      <c r="H115" s="160"/>
    </row>
    <row r="116" spans="3:9" s="157" customFormat="1" ht="29.25" customHeight="1" x14ac:dyDescent="0.2">
      <c r="D116" s="59"/>
      <c r="E116" s="59"/>
      <c r="F116" s="166"/>
      <c r="G116" s="165"/>
      <c r="H116" s="160"/>
    </row>
    <row r="117" spans="3:9" s="157" customFormat="1" ht="29.25" customHeight="1" x14ac:dyDescent="0.2">
      <c r="D117" s="59"/>
      <c r="E117" s="59"/>
      <c r="G117" s="165"/>
      <c r="H117" s="160"/>
    </row>
    <row r="118" spans="3:9" s="157" customFormat="1" ht="29.25" customHeight="1" x14ac:dyDescent="0.2">
      <c r="D118" s="59"/>
      <c r="E118" s="59"/>
      <c r="G118" s="165"/>
      <c r="H118" s="160"/>
    </row>
    <row r="119" spans="3:9" s="157" customFormat="1" ht="29.25" customHeight="1" x14ac:dyDescent="0.2">
      <c r="D119" s="59"/>
      <c r="E119" s="59"/>
      <c r="G119" s="165"/>
      <c r="H119" s="160"/>
    </row>
    <row r="120" spans="3:9" s="157" customFormat="1" ht="29.25" customHeight="1" x14ac:dyDescent="0.2">
      <c r="D120" s="59"/>
      <c r="E120" s="59"/>
      <c r="G120" s="165"/>
      <c r="H120" s="160"/>
    </row>
    <row r="121" spans="3:9" ht="10.5" customHeight="1" x14ac:dyDescent="0.2"/>
    <row r="125" spans="3:9" ht="12.75" customHeight="1" x14ac:dyDescent="0.2">
      <c r="C125" s="167"/>
      <c r="D125" s="236"/>
      <c r="E125" s="236"/>
      <c r="F125" s="236"/>
      <c r="G125" s="167"/>
      <c r="H125" s="156"/>
      <c r="I125" s="167"/>
    </row>
    <row r="126" spans="3:9" s="19" customFormat="1" x14ac:dyDescent="0.2">
      <c r="F126" s="168"/>
      <c r="G126" s="168"/>
    </row>
    <row r="127" spans="3:9" ht="29.25" customHeight="1" x14ac:dyDescent="0.2">
      <c r="D127" s="60"/>
      <c r="E127" s="60"/>
      <c r="F127" s="169"/>
      <c r="G127" s="169"/>
    </row>
    <row r="128" spans="3:9" ht="29.25" customHeight="1" x14ac:dyDescent="0.2">
      <c r="D128" s="60"/>
      <c r="E128" s="60"/>
      <c r="F128" s="159"/>
      <c r="G128" s="169"/>
    </row>
    <row r="129" spans="4:8" ht="29.25" customHeight="1" x14ac:dyDescent="0.2">
      <c r="D129" s="60"/>
      <c r="E129" s="60"/>
      <c r="F129" s="169"/>
      <c r="G129" s="169"/>
    </row>
    <row r="130" spans="4:8" ht="29.25" customHeight="1" x14ac:dyDescent="0.2">
      <c r="D130" s="60"/>
      <c r="E130" s="60"/>
      <c r="F130" s="169"/>
      <c r="G130" s="169"/>
      <c r="H130" s="170"/>
    </row>
    <row r="131" spans="4:8" ht="29.25" customHeight="1" x14ac:dyDescent="0.2">
      <c r="D131" s="66"/>
      <c r="E131" s="66"/>
      <c r="F131" s="171"/>
      <c r="G131" s="171"/>
    </row>
  </sheetData>
  <sheetProtection algorithmName="SHA-512" hashValue="pYDXmYewIbazLk2ljPxR3iafWnTCXrbLbGxvvge56GDxK2P0EHMHYU1KRTD5MS2AgyAhbGgLkW6Dd/JnQ42CKg==" saltValue="+jH9sSjCTBFTtO+T85RdOw==" spinCount="100000" sheet="1" objects="1" scenarios="1" selectLockedCells="1"/>
  <mergeCells count="22">
    <mergeCell ref="B6:Q6"/>
    <mergeCell ref="D113:F113"/>
    <mergeCell ref="D125:F125"/>
    <mergeCell ref="B11:B12"/>
    <mergeCell ref="B22:B23"/>
    <mergeCell ref="D24:D25"/>
    <mergeCell ref="D33:D34"/>
    <mergeCell ref="D42:D43"/>
    <mergeCell ref="D51:D52"/>
    <mergeCell ref="D60:D61"/>
    <mergeCell ref="B89:Q89"/>
    <mergeCell ref="K75:L75"/>
    <mergeCell ref="K77:L77"/>
    <mergeCell ref="K79:L79"/>
    <mergeCell ref="K81:L81"/>
    <mergeCell ref="B87:Q87"/>
    <mergeCell ref="B91:N91"/>
    <mergeCell ref="K85:L85"/>
    <mergeCell ref="B71:E71"/>
    <mergeCell ref="B7:Q8"/>
    <mergeCell ref="K83:L83"/>
    <mergeCell ref="B68:J69"/>
  </mergeCells>
  <phoneticPr fontId="23" type="noConversion"/>
  <conditionalFormatting sqref="B75:L83">
    <cfRule type="expression" dxfId="48" priority="32">
      <formula>$J$18="Auswahl treffen"</formula>
    </cfRule>
  </conditionalFormatting>
  <conditionalFormatting sqref="B77:L83">
    <cfRule type="expression" dxfId="47" priority="31">
      <formula>$J$18=1</formula>
    </cfRule>
  </conditionalFormatting>
  <conditionalFormatting sqref="B79:L83">
    <cfRule type="expression" dxfId="46" priority="30">
      <formula>$J$18=2</formula>
    </cfRule>
  </conditionalFormatting>
  <conditionalFormatting sqref="B81:L83">
    <cfRule type="expression" dxfId="45" priority="29">
      <formula>$J$18=3</formula>
    </cfRule>
  </conditionalFormatting>
  <conditionalFormatting sqref="B83:L83">
    <cfRule type="expression" dxfId="44" priority="28">
      <formula>$J$18=4</formula>
    </cfRule>
  </conditionalFormatting>
  <conditionalFormatting sqref="B49:Q65">
    <cfRule type="expression" dxfId="43" priority="50">
      <formula>$J$18=3</formula>
    </cfRule>
  </conditionalFormatting>
  <conditionalFormatting sqref="B58:Q65">
    <cfRule type="expression" dxfId="42" priority="49">
      <formula>$J$18=4</formula>
    </cfRule>
  </conditionalFormatting>
  <conditionalFormatting sqref="C22:Q24 C25:G25 I25:Q25 C26:Q65">
    <cfRule type="expression" dxfId="41" priority="53">
      <formula>$J$18="Auswahl treffen"</formula>
    </cfRule>
  </conditionalFormatting>
  <conditionalFormatting sqref="C31:Q65">
    <cfRule type="expression" dxfId="40" priority="52">
      <formula>$J$18=1</formula>
    </cfRule>
  </conditionalFormatting>
  <conditionalFormatting sqref="C40:Q65">
    <cfRule type="expression" dxfId="39" priority="51">
      <formula>$J$18=2</formula>
    </cfRule>
  </conditionalFormatting>
  <conditionalFormatting sqref="D107:F107">
    <cfRule type="expression" dxfId="38" priority="58">
      <formula>"nicht($K$8)"</formula>
    </cfRule>
  </conditionalFormatting>
  <conditionalFormatting sqref="D24:J24 D25:G25 I25:J25 L25:Q25 D26:F27 H26:J28 L27:Q28">
    <cfRule type="expression" dxfId="37" priority="35">
      <formula>$F$22="NUR Mittagstisch"</formula>
    </cfRule>
  </conditionalFormatting>
  <conditionalFormatting sqref="D24:J25">
    <cfRule type="expression" dxfId="36" priority="5">
      <formula>OR($AC$22&lt;48,$AC$22&gt;720)</formula>
    </cfRule>
  </conditionalFormatting>
  <conditionalFormatting sqref="D33:J34">
    <cfRule type="expression" dxfId="35" priority="4">
      <formula>OR($AC$33&lt;48,$AC$33&gt;720)</formula>
    </cfRule>
  </conditionalFormatting>
  <conditionalFormatting sqref="D42:J43">
    <cfRule type="expression" dxfId="34" priority="3">
      <formula>OR($AC$42&lt;48,$AC$42&gt;720)</formula>
    </cfRule>
  </conditionalFormatting>
  <conditionalFormatting sqref="D42:J45 L43:Q43 L45:Q46 H46:J46">
    <cfRule type="expression" dxfId="33" priority="14">
      <formula>$F$40="NUR Mittagstisch"</formula>
    </cfRule>
  </conditionalFormatting>
  <conditionalFormatting sqref="D51:J52">
    <cfRule type="expression" dxfId="32" priority="2">
      <formula>OR($AC$51&lt;48,$AC$51&gt;720)</formula>
    </cfRule>
  </conditionalFormatting>
  <conditionalFormatting sqref="D51:J54 L52:Q52 L54:Q55 H55:J55">
    <cfRule type="expression" dxfId="31" priority="13">
      <formula>$F$49="NUR Mittagstisch"</formula>
    </cfRule>
  </conditionalFormatting>
  <conditionalFormatting sqref="D60:J61">
    <cfRule type="expression" dxfId="30" priority="1">
      <formula>OR($AC$61&lt;48,$AC$61&gt;720)</formula>
    </cfRule>
  </conditionalFormatting>
  <conditionalFormatting sqref="D60:J63 L61:Q61 L63:Q64 H64:J64">
    <cfRule type="expression" dxfId="29" priority="12">
      <formula>$F$58="NUR Mittagstisch"</formula>
    </cfRule>
  </conditionalFormatting>
  <conditionalFormatting sqref="D33:K36 L34:Q34 L36:Q37 H37:J37">
    <cfRule type="expression" dxfId="28" priority="15">
      <formula>$F$31="NUR Mittagstisch"</formula>
    </cfRule>
  </conditionalFormatting>
  <conditionalFormatting sqref="F13">
    <cfRule type="expression" dxfId="27" priority="55">
      <formula>$F$11="Ja"</formula>
    </cfRule>
    <cfRule type="expression" dxfId="26" priority="56">
      <formula>$F$11="Nein"</formula>
    </cfRule>
  </conditionalFormatting>
  <conditionalFormatting sqref="F29">
    <cfRule type="expression" dxfId="25" priority="7">
      <formula>$AC$26="FALSCH"</formula>
    </cfRule>
  </conditionalFormatting>
  <conditionalFormatting sqref="F107">
    <cfRule type="expression" dxfId="24" priority="59">
      <formula>$M$93</formula>
    </cfRule>
  </conditionalFormatting>
  <conditionalFormatting sqref="H24:J24 G25 I25:J25 H26:J28 D27:F28">
    <cfRule type="expression" dxfId="23" priority="36">
      <formula>$F$22="Schulergänzende Betreuung"</formula>
    </cfRule>
  </conditionalFormatting>
  <conditionalFormatting sqref="H26:J28 D27:F28 L28:Q28">
    <cfRule type="expression" dxfId="22" priority="37">
      <formula>$F$22="Kindertagesstätte (Kita)"</formula>
    </cfRule>
  </conditionalFormatting>
  <conditionalFormatting sqref="H33:J37 D36:F37 R38">
    <cfRule type="expression" dxfId="21" priority="19">
      <formula>$F$31="Schulergänzende Betreuung"</formula>
    </cfRule>
  </conditionalFormatting>
  <conditionalFormatting sqref="H35:J37 D36:F37 L37:Q37">
    <cfRule type="expression" dxfId="20" priority="23">
      <formula>$F$31="Kindertagesstätte (Kita)"</formula>
    </cfRule>
  </conditionalFormatting>
  <conditionalFormatting sqref="H42:J46 D45:F46">
    <cfRule type="expression" dxfId="19" priority="18">
      <formula>$F$40="Schulergänzende Betreuung"</formula>
    </cfRule>
  </conditionalFormatting>
  <conditionalFormatting sqref="H44:J46 D45:F46 L46:Q46">
    <cfRule type="expression" dxfId="18" priority="22">
      <formula>$F$40="Kindertagesstätte (Kita)"</formula>
    </cfRule>
  </conditionalFormatting>
  <conditionalFormatting sqref="H51:J55 D54:F55">
    <cfRule type="expression" dxfId="17" priority="17">
      <formula>$F$49="Schulergänzende Betreuung"</formula>
    </cfRule>
  </conditionalFormatting>
  <conditionalFormatting sqref="H53:J55 D54:F55 L55:Q55">
    <cfRule type="expression" dxfId="16" priority="21">
      <formula>$F$49="Kindertagesstätte (Kita)"</formula>
    </cfRule>
  </conditionalFormatting>
  <conditionalFormatting sqref="H60:J64 D63:F64">
    <cfRule type="expression" dxfId="15" priority="16">
      <formula>$F$58="Schulergänzende Betreuung"</formula>
    </cfRule>
  </conditionalFormatting>
  <conditionalFormatting sqref="H62:J64 D63:F64 L64:Q64">
    <cfRule type="expression" dxfId="14" priority="20">
      <formula>$F$58="Kindertagesstätte (Kita)"</formula>
    </cfRule>
  </conditionalFormatting>
  <conditionalFormatting sqref="J11 J13 F15 J15">
    <cfRule type="expression" dxfId="13" priority="54">
      <formula>$F$11="Nein"</formula>
    </cfRule>
  </conditionalFormatting>
  <conditionalFormatting sqref="J18">
    <cfRule type="expression" dxfId="12" priority="33">
      <formula>$F$18="Auswahl treffen"</formula>
    </cfRule>
    <cfRule type="expression" dxfId="11" priority="48">
      <formula>$F$18&lt;&gt;"Auswahl treffen"</formula>
    </cfRule>
  </conditionalFormatting>
  <conditionalFormatting sqref="L22:Q28 D26:F26 D28:F28">
    <cfRule type="expression" dxfId="10" priority="42">
      <formula>$F$22="Tagesfamilie"</formula>
    </cfRule>
  </conditionalFormatting>
  <conditionalFormatting sqref="L22:Q28 D24:K24 D25:G25 I25:K25 D26:K28">
    <cfRule type="expression" dxfId="9" priority="34">
      <formula>$F$22="Betreuungsart auswählen"</formula>
    </cfRule>
  </conditionalFormatting>
  <conditionalFormatting sqref="L31:Q31 D33:Q37">
    <cfRule type="expression" dxfId="8" priority="11">
      <formula>$F$31="Betreuungsart auswählen"</formula>
    </cfRule>
  </conditionalFormatting>
  <conditionalFormatting sqref="L31:Q37 D35:F35 D37:F37">
    <cfRule type="expression" dxfId="7" priority="27">
      <formula>$F$31="Tagesfamilie"</formula>
    </cfRule>
  </conditionalFormatting>
  <conditionalFormatting sqref="L40:Q40 D42:Q46">
    <cfRule type="expression" dxfId="6" priority="10">
      <formula>$F$40="Betreuungsart auswählen"</formula>
    </cfRule>
  </conditionalFormatting>
  <conditionalFormatting sqref="L40:Q46 D44:F44 D46:F46">
    <cfRule type="expression" dxfId="5" priority="26">
      <formula>$F$40="Tagesfamilie"</formula>
    </cfRule>
  </conditionalFormatting>
  <conditionalFormatting sqref="L49:Q49 D51:Q55">
    <cfRule type="expression" dxfId="4" priority="9">
      <formula>$F$49="Betreuungsart auswählen"</formula>
    </cfRule>
  </conditionalFormatting>
  <conditionalFormatting sqref="L49:Q55 D53:F53 D55:F55">
    <cfRule type="expression" dxfId="3" priority="25">
      <formula>$F$49="Tagesfamilie"</formula>
    </cfRule>
  </conditionalFormatting>
  <conditionalFormatting sqref="L58:Q58 D60:Q64">
    <cfRule type="expression" dxfId="2" priority="8">
      <formula>$F$58="Betreuungsart auswählen"</formula>
    </cfRule>
  </conditionalFormatting>
  <conditionalFormatting sqref="L58:Q64 D62:F62 D64:F64">
    <cfRule type="expression" dxfId="1" priority="24">
      <formula>$F$58="Tagesfamilie"</formula>
    </cfRule>
  </conditionalFormatting>
  <dataValidations count="9">
    <dataValidation type="list" allowBlank="1" showInputMessage="1" showErrorMessage="1" sqref="F11 F24 F33 F42 F51 F60 J24 J33 J42 J51 J60">
      <formula1>"Auswahl treffen,Ja,Nein"</formula1>
    </dataValidation>
    <dataValidation type="list" allowBlank="1" showInputMessage="1" showErrorMessage="1" sqref="F18 J18">
      <formula1>"Auswahl treffen,1,2,3,4,5"</formula1>
    </dataValidation>
    <dataValidation type="list" allowBlank="1" showInputMessage="1" showErrorMessage="1" sqref="F65:F67 F59">
      <formula1>"Betreuungsart auswählen,Kindertagesstätte (Kita),Tagesfamilie,Schulergänzende Betreuung/Mittagstisch"</formula1>
    </dataValidation>
    <dataValidation type="list" allowBlank="1" showInputMessage="1" showErrorMessage="1" error="Bitte setzen Sie ein &quot;x&quot;." sqref="M25:Q28 M43:Q46 M52:Q55 M61:Q64 M34:Q37">
      <formula1>"x"</formula1>
    </dataValidation>
    <dataValidation type="list" allowBlank="1" showInputMessage="1" showErrorMessage="1" sqref="F22 F31 F40 F49 F58">
      <formula1>"Betreuungsart auswählen,Kindertagesstätte (Kita),Tagesfamilie,Schulergänzende Betreuung, NUR Mittagstisch"</formula1>
    </dataValidation>
    <dataValidation type="custom" errorStyle="warning" allowBlank="1" showInputMessage="1" showErrorMessage="1" error="Sie haben angegeben, dass Ihr Kind unter 4 Jahren alt ist und schulergänzende Betreuung beansprucht. Bitte Eingabe kontrollieren." sqref="AC26">
      <formula1>AC26="WAHR"</formula1>
    </dataValidation>
    <dataValidation allowBlank="1" showInputMessage="1" showErrorMessage="1" prompt="Gesamteinkünfte minus Gesamtabzüge (Berufsauslagen, Schuldzinsen, Versicherungsabzüge, etc.) ohne Sozialabzüge gemäss letzter definitiver Steuerveranlagung, die nicht älter als zwei Jahre ist." sqref="F15"/>
    <dataValidation allowBlank="1" showInputMessage="1" showErrorMessage="1" prompt="Differenz zwischen Bruttovermögen und Schulden gemäss letzter definitiver Steuerveranlagung, die nicht älter als zwei Jahre ist. (Wenn über CHF 200'000, werden 10% dem anspruchsberechtigten Einkommen angerechnet.)" sqref="J15"/>
    <dataValidation type="custom" errorStyle="warning" allowBlank="1" showInputMessage="1" showErrorMessage="1" errorTitle="Alter prüfen" error="Sie haben angegeben, dass Ihr Kind unter 4 Jahren alt ist und schulergänzende Betreuung beansprucht. Bitte Eingabe kontrollieren." sqref="J22 J31 J40 J49 J58">
      <formula1>IF(AND(F22="Schulergänzende Betreuung",DATEDIF(J22,TODAY(),"M")&lt;48),FALSE,TRUE)</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1" id="{CF6B0E44-3DA0-46F5-8A40-0AA7B25B4961}">
            <xm:f>'Berechnung Einkommen'!$H$27</xm:f>
            <x14:dxf>
              <fill>
                <patternFill>
                  <bgColor theme="7" tint="0.79998168889431442"/>
                </patternFill>
              </fill>
            </x14:dxf>
          </x14:cfRule>
          <xm:sqref>F116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B2:H28"/>
  <sheetViews>
    <sheetView showGridLines="0" workbookViewId="0">
      <selection activeCell="E15" sqref="E15"/>
    </sheetView>
  </sheetViews>
  <sheetFormatPr baseColWidth="10" defaultColWidth="11.42578125" defaultRowHeight="12.75" x14ac:dyDescent="0.2"/>
  <cols>
    <col min="1" max="1" width="6.7109375" customWidth="1"/>
    <col min="2" max="2" width="3.42578125" customWidth="1"/>
    <col min="3" max="3" width="44.85546875" bestFit="1" customWidth="1"/>
    <col min="4" max="4" width="6.7109375" bestFit="1" customWidth="1"/>
    <col min="5" max="5" width="17.140625" style="127" bestFit="1" customWidth="1"/>
    <col min="6" max="6" width="3" customWidth="1"/>
    <col min="8" max="8" width="11.42578125" customWidth="1"/>
  </cols>
  <sheetData>
    <row r="2" spans="2:6" x14ac:dyDescent="0.2">
      <c r="B2" s="62"/>
      <c r="C2" s="10"/>
      <c r="D2" s="10"/>
      <c r="E2" s="120"/>
      <c r="F2" s="11"/>
    </row>
    <row r="3" spans="2:6" ht="18" customHeight="1" x14ac:dyDescent="0.25">
      <c r="B3" s="89" t="s">
        <v>9</v>
      </c>
      <c r="C3" s="90"/>
      <c r="D3" s="90"/>
      <c r="E3" s="121"/>
      <c r="F3" s="91"/>
    </row>
    <row r="4" spans="2:6" ht="18" customHeight="1" x14ac:dyDescent="0.2">
      <c r="B4" s="80"/>
      <c r="C4" s="242" t="s">
        <v>10</v>
      </c>
      <c r="D4" s="242"/>
      <c r="E4" s="242"/>
      <c r="F4" s="81"/>
    </row>
    <row r="5" spans="2:6" ht="25.5" customHeight="1" x14ac:dyDescent="0.2">
      <c r="B5" s="14"/>
      <c r="C5" s="82" t="s">
        <v>4</v>
      </c>
      <c r="D5" s="83"/>
      <c r="E5" s="119">
        <f>Beitragsrechner!F15</f>
        <v>0</v>
      </c>
      <c r="F5" s="13"/>
    </row>
    <row r="6" spans="2:6" ht="25.5" customHeight="1" x14ac:dyDescent="0.2">
      <c r="B6" s="14"/>
      <c r="C6" s="82" t="s">
        <v>5</v>
      </c>
      <c r="D6" s="83"/>
      <c r="E6" s="119">
        <f>Beitragsrechner!J11</f>
        <v>0</v>
      </c>
      <c r="F6" s="13"/>
    </row>
    <row r="7" spans="2:6" ht="25.5" customHeight="1" x14ac:dyDescent="0.2">
      <c r="B7" s="14"/>
      <c r="C7" s="59" t="s">
        <v>11</v>
      </c>
      <c r="D7" s="83"/>
      <c r="E7" s="119">
        <f>Beitragsrechner!J13</f>
        <v>0</v>
      </c>
      <c r="F7" s="13"/>
    </row>
    <row r="8" spans="2:6" ht="25.5" customHeight="1" x14ac:dyDescent="0.2">
      <c r="B8" s="14"/>
      <c r="C8" s="59" t="s">
        <v>12</v>
      </c>
      <c r="D8" s="83"/>
      <c r="E8" s="119">
        <f>MAX((Beitragsrechner!J15-200000)*0.1,0)</f>
        <v>0</v>
      </c>
      <c r="F8" s="13"/>
    </row>
    <row r="9" spans="2:6" ht="25.5" customHeight="1" thickBot="1" x14ac:dyDescent="0.25">
      <c r="B9" s="14"/>
      <c r="C9" s="84" t="s">
        <v>13</v>
      </c>
      <c r="D9" s="85"/>
      <c r="E9" s="122">
        <f>SUM(E5:E8)</f>
        <v>0</v>
      </c>
      <c r="F9" s="13"/>
    </row>
    <row r="10" spans="2:6" x14ac:dyDescent="0.2">
      <c r="B10" s="14"/>
      <c r="C10" s="59"/>
      <c r="D10" s="83"/>
      <c r="E10" s="119"/>
      <c r="F10" s="13"/>
    </row>
    <row r="11" spans="2:6" ht="18" customHeight="1" x14ac:dyDescent="0.2">
      <c r="B11" s="80"/>
      <c r="C11" s="88" t="s">
        <v>14</v>
      </c>
      <c r="D11" s="86"/>
      <c r="E11" s="123"/>
      <c r="F11" s="81"/>
    </row>
    <row r="12" spans="2:6" ht="25.5" customHeight="1" x14ac:dyDescent="0.2">
      <c r="B12" s="14"/>
      <c r="C12" s="60" t="s">
        <v>18</v>
      </c>
      <c r="D12" s="83"/>
      <c r="E12" s="119">
        <f>IF(Beitragsrechner!F18&lt;&gt;"Auswahl treffen",Beitragsrechner!F18*6600,0)</f>
        <v>0</v>
      </c>
      <c r="F12" s="13"/>
    </row>
    <row r="13" spans="2:6" ht="25.5" customHeight="1" thickBot="1" x14ac:dyDescent="0.25">
      <c r="B13" s="14"/>
      <c r="C13" s="84" t="s">
        <v>15</v>
      </c>
      <c r="D13" s="85"/>
      <c r="E13" s="122">
        <f>SUM(E12)</f>
        <v>0</v>
      </c>
      <c r="F13" s="13"/>
    </row>
    <row r="14" spans="2:6" x14ac:dyDescent="0.2">
      <c r="B14" s="14"/>
      <c r="C14" s="60"/>
      <c r="D14" s="60"/>
      <c r="E14" s="119"/>
      <c r="F14" s="13"/>
    </row>
    <row r="15" spans="2:6" ht="18" customHeight="1" thickBot="1" x14ac:dyDescent="0.25">
      <c r="B15" s="14"/>
      <c r="C15" s="87" t="s">
        <v>16</v>
      </c>
      <c r="D15" s="66"/>
      <c r="E15" s="124">
        <f>MAX(E9-E13,0)</f>
        <v>0</v>
      </c>
      <c r="F15" s="13"/>
    </row>
    <row r="16" spans="2:6" ht="13.5" thickTop="1" x14ac:dyDescent="0.2">
      <c r="B16" s="63"/>
      <c r="C16" s="64"/>
      <c r="D16" s="64"/>
      <c r="E16" s="125"/>
      <c r="F16" s="65"/>
    </row>
    <row r="18" spans="2:8" x14ac:dyDescent="0.2">
      <c r="B18" s="62"/>
      <c r="C18" s="10"/>
      <c r="D18" s="10"/>
      <c r="E18" s="120"/>
      <c r="F18" s="11"/>
    </row>
    <row r="19" spans="2:8" ht="18" customHeight="1" x14ac:dyDescent="0.25">
      <c r="B19" s="89" t="s">
        <v>17</v>
      </c>
      <c r="C19" s="92"/>
      <c r="D19" s="92"/>
      <c r="E19" s="126"/>
      <c r="F19" s="93"/>
    </row>
    <row r="20" spans="2:8" ht="25.5" customHeight="1" x14ac:dyDescent="0.2">
      <c r="B20" s="14"/>
      <c r="C20" s="59" t="s">
        <v>22</v>
      </c>
      <c r="D20" s="83"/>
      <c r="E20" s="119">
        <f>Beitragsrechner!F13*0.8</f>
        <v>0</v>
      </c>
      <c r="F20" s="13"/>
    </row>
    <row r="21" spans="2:8" ht="25.5" customHeight="1" x14ac:dyDescent="0.2">
      <c r="B21" s="14"/>
      <c r="C21" s="59" t="s">
        <v>18</v>
      </c>
      <c r="D21" s="83"/>
      <c r="E21" s="119">
        <f>IF(Beitragsrechner!F18&lt;&gt;"Auswahl treffen",Beitragsrechner!F18*6600,0)</f>
        <v>0</v>
      </c>
      <c r="F21" s="13"/>
    </row>
    <row r="22" spans="2:8" x14ac:dyDescent="0.2">
      <c r="B22" s="14"/>
      <c r="C22" s="60"/>
      <c r="D22" s="60"/>
      <c r="E22" s="119"/>
      <c r="F22" s="13"/>
    </row>
    <row r="23" spans="2:8" ht="18" customHeight="1" thickBot="1" x14ac:dyDescent="0.25">
      <c r="B23" s="14"/>
      <c r="C23" s="87" t="s">
        <v>157</v>
      </c>
      <c r="D23" s="66"/>
      <c r="E23" s="124">
        <f>E20-E21</f>
        <v>0</v>
      </c>
      <c r="F23" s="13"/>
    </row>
    <row r="24" spans="2:8" ht="13.5" thickTop="1" x14ac:dyDescent="0.2">
      <c r="B24" s="63"/>
      <c r="C24" s="64"/>
      <c r="D24" s="64"/>
      <c r="E24" s="125"/>
      <c r="F24" s="65"/>
    </row>
    <row r="25" spans="2:8" ht="13.5" thickBot="1" x14ac:dyDescent="0.25"/>
    <row r="26" spans="2:8" x14ac:dyDescent="0.2">
      <c r="B26" s="67"/>
      <c r="C26" s="68"/>
      <c r="D26" s="68"/>
      <c r="E26" s="128"/>
      <c r="F26" s="69"/>
    </row>
    <row r="27" spans="2:8" ht="15.75" thickBot="1" x14ac:dyDescent="0.25">
      <c r="B27" s="70"/>
      <c r="C27" s="87" t="s">
        <v>19</v>
      </c>
      <c r="D27" s="66"/>
      <c r="E27" s="124">
        <f>IF(H27,E23,E15)</f>
        <v>0</v>
      </c>
      <c r="F27" s="71"/>
      <c r="H27" s="172" t="b">
        <f>Beitragsrechner!F11="Ja"</f>
        <v>0</v>
      </c>
    </row>
    <row r="28" spans="2:8" ht="14.25" thickTop="1" thickBot="1" x14ac:dyDescent="0.25">
      <c r="B28" s="72"/>
      <c r="C28" s="73"/>
      <c r="D28" s="73"/>
      <c r="E28" s="129"/>
      <c r="F28" s="74"/>
    </row>
  </sheetData>
  <sheetProtection algorithmName="SHA-512" hashValue="EwrmFSbLotLw+HhE45xznVWmIApOdrw91BQAH/U80c9mxFvwow+lBR5vCJcpe3+0z32Je/QTQxrYEGMocy567w==" saltValue="hBCm3XSQ2MwEltuNoa9uJQ==" spinCount="100000" sheet="1" objects="1" scenarios="1"/>
  <mergeCells count="1">
    <mergeCell ref="C4:E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pageSetUpPr fitToPage="1"/>
  </sheetPr>
  <dimension ref="A1:O56"/>
  <sheetViews>
    <sheetView topLeftCell="A15" zoomScaleNormal="100" workbookViewId="0">
      <selection activeCell="C53" sqref="C53"/>
    </sheetView>
  </sheetViews>
  <sheetFormatPr baseColWidth="10" defaultColWidth="11.42578125" defaultRowHeight="12.75" x14ac:dyDescent="0.2"/>
  <cols>
    <col min="1" max="1" width="60.5703125" customWidth="1"/>
    <col min="2" max="2" width="7.5703125" customWidth="1"/>
    <col min="3" max="3" width="19.42578125" bestFit="1" customWidth="1"/>
    <col min="4" max="4" width="2.5703125" customWidth="1"/>
    <col min="5" max="5" width="20.42578125" bestFit="1" customWidth="1"/>
    <col min="6" max="6" width="2.5703125" customWidth="1"/>
    <col min="7" max="7" width="18.28515625" customWidth="1"/>
    <col min="8" max="8" width="2.5703125" customWidth="1"/>
    <col min="9" max="9" width="18" customWidth="1"/>
    <col min="10" max="10" width="2.42578125" customWidth="1"/>
    <col min="11" max="11" width="20.28515625" customWidth="1"/>
    <col min="12" max="12" width="2.42578125" customWidth="1"/>
    <col min="13" max="13" width="63" style="5" customWidth="1"/>
  </cols>
  <sheetData>
    <row r="1" spans="1:15" ht="18" x14ac:dyDescent="0.25">
      <c r="A1" s="8" t="s">
        <v>20</v>
      </c>
      <c r="B1" s="9"/>
      <c r="C1" s="9"/>
      <c r="D1" s="9"/>
      <c r="E1" s="10"/>
      <c r="F1" s="10"/>
      <c r="G1" s="10"/>
      <c r="H1" s="10"/>
      <c r="I1" s="10"/>
      <c r="J1" s="10"/>
      <c r="K1" s="10"/>
      <c r="M1" s="78"/>
    </row>
    <row r="3" spans="1:15" x14ac:dyDescent="0.2">
      <c r="A3" s="12" t="s">
        <v>21</v>
      </c>
      <c r="B3" s="23"/>
      <c r="C3" s="23"/>
      <c r="D3" s="23"/>
      <c r="E3" s="95" t="s">
        <v>0</v>
      </c>
      <c r="F3" s="75"/>
      <c r="G3" s="75"/>
      <c r="H3" s="75"/>
      <c r="I3" s="75"/>
      <c r="J3" s="75"/>
      <c r="K3" s="75"/>
      <c r="L3" s="75"/>
      <c r="M3" s="77"/>
    </row>
    <row r="4" spans="1:15" x14ac:dyDescent="0.2">
      <c r="A4" s="16" t="s">
        <v>22</v>
      </c>
      <c r="B4" s="20"/>
      <c r="C4" s="38"/>
      <c r="D4" s="38"/>
      <c r="E4" s="76"/>
      <c r="F4" s="76"/>
      <c r="G4" s="76"/>
      <c r="H4" s="76"/>
      <c r="I4" s="76"/>
      <c r="J4" s="76"/>
      <c r="K4" s="76"/>
      <c r="L4" s="76"/>
      <c r="M4" s="77"/>
    </row>
    <row r="5" spans="1:15" x14ac:dyDescent="0.2">
      <c r="A5" s="21" t="s">
        <v>23</v>
      </c>
      <c r="B5" s="19" t="s">
        <v>24</v>
      </c>
      <c r="C5" s="43">
        <v>47193</v>
      </c>
      <c r="M5" s="77"/>
    </row>
    <row r="6" spans="1:15" x14ac:dyDescent="0.2">
      <c r="A6" s="14" t="s">
        <v>25</v>
      </c>
      <c r="B6" s="19" t="s">
        <v>24</v>
      </c>
      <c r="C6" s="43">
        <v>153215</v>
      </c>
      <c r="M6" s="77"/>
    </row>
    <row r="7" spans="1:15" x14ac:dyDescent="0.2">
      <c r="A7" s="14"/>
      <c r="M7" s="77"/>
    </row>
    <row r="8" spans="1:15" x14ac:dyDescent="0.2">
      <c r="A8" s="16" t="s">
        <v>26</v>
      </c>
      <c r="B8" s="20"/>
      <c r="C8" s="38"/>
      <c r="D8" s="38"/>
      <c r="M8" s="77"/>
    </row>
    <row r="9" spans="1:15" x14ac:dyDescent="0.2">
      <c r="A9" s="14" t="s">
        <v>27</v>
      </c>
      <c r="B9" s="19" t="s">
        <v>24</v>
      </c>
      <c r="C9">
        <v>185</v>
      </c>
      <c r="M9" s="77"/>
    </row>
    <row r="10" spans="1:15" x14ac:dyDescent="0.2">
      <c r="A10" s="14" t="s">
        <v>28</v>
      </c>
      <c r="B10" s="19" t="s">
        <v>24</v>
      </c>
      <c r="C10">
        <v>130</v>
      </c>
      <c r="K10" s="79"/>
      <c r="M10" s="77"/>
      <c r="O10" s="79"/>
    </row>
    <row r="11" spans="1:15" x14ac:dyDescent="0.2">
      <c r="A11" s="14" t="s">
        <v>29</v>
      </c>
      <c r="B11" s="19" t="s">
        <v>24</v>
      </c>
      <c r="C11">
        <v>65</v>
      </c>
      <c r="K11" s="79"/>
      <c r="M11" s="77"/>
    </row>
    <row r="12" spans="1:15" x14ac:dyDescent="0.2">
      <c r="A12" s="14" t="s">
        <v>30</v>
      </c>
      <c r="B12" s="19" t="s">
        <v>24</v>
      </c>
      <c r="C12">
        <v>100</v>
      </c>
      <c r="M12" s="77"/>
    </row>
    <row r="13" spans="1:15" x14ac:dyDescent="0.2">
      <c r="A13" s="14"/>
      <c r="B13" s="19"/>
      <c r="M13" s="77"/>
    </row>
    <row r="14" spans="1:15" x14ac:dyDescent="0.2">
      <c r="A14" s="14" t="s">
        <v>31</v>
      </c>
      <c r="B14" s="19" t="s">
        <v>24</v>
      </c>
      <c r="C14">
        <v>30</v>
      </c>
      <c r="D14" s="61"/>
      <c r="E14" s="137">
        <f>C14/C10*0.9</f>
        <v>0.2076923076923077</v>
      </c>
      <c r="F14" s="61"/>
      <c r="G14" s="61"/>
      <c r="H14" s="61"/>
      <c r="I14" s="61"/>
      <c r="J14" s="61"/>
      <c r="K14" s="61"/>
      <c r="L14" s="61"/>
    </row>
    <row r="15" spans="1:15" x14ac:dyDescent="0.2">
      <c r="A15" s="14"/>
      <c r="M15" s="77"/>
    </row>
    <row r="16" spans="1:15" x14ac:dyDescent="0.2">
      <c r="A16" s="14"/>
      <c r="M16" s="77"/>
    </row>
    <row r="17" spans="1:13" x14ac:dyDescent="0.2">
      <c r="A17" s="12" t="s">
        <v>32</v>
      </c>
      <c r="B17" s="23"/>
      <c r="C17" s="23"/>
      <c r="D17" s="23"/>
      <c r="E17" s="23"/>
      <c r="F17" s="23"/>
      <c r="G17" s="23"/>
      <c r="H17" s="23"/>
      <c r="I17" s="23"/>
      <c r="J17" s="23"/>
      <c r="K17" s="23"/>
      <c r="L17" s="24"/>
      <c r="M17" s="25"/>
    </row>
    <row r="18" spans="1:13" x14ac:dyDescent="0.2">
      <c r="A18" s="31"/>
      <c r="B18" s="32"/>
      <c r="C18" s="36" t="s">
        <v>33</v>
      </c>
      <c r="D18" s="33">
        <v>1</v>
      </c>
      <c r="E18" s="36" t="s">
        <v>34</v>
      </c>
      <c r="F18" s="33">
        <v>2</v>
      </c>
      <c r="G18" s="36" t="s">
        <v>34</v>
      </c>
      <c r="H18" s="33">
        <v>3</v>
      </c>
      <c r="I18" s="36" t="s">
        <v>34</v>
      </c>
      <c r="J18" s="36">
        <v>4</v>
      </c>
      <c r="K18" s="36" t="s">
        <v>34</v>
      </c>
      <c r="L18" s="34">
        <v>5</v>
      </c>
      <c r="M18" s="35" t="s">
        <v>35</v>
      </c>
    </row>
    <row r="19" spans="1:13" x14ac:dyDescent="0.2">
      <c r="A19" s="14"/>
      <c r="C19" s="6" t="s">
        <v>36</v>
      </c>
      <c r="D19" s="7"/>
      <c r="E19" s="6" t="s">
        <v>36</v>
      </c>
      <c r="F19" s="7"/>
      <c r="G19" s="6" t="s">
        <v>36</v>
      </c>
      <c r="H19" s="7"/>
      <c r="I19" s="6" t="s">
        <v>36</v>
      </c>
      <c r="J19" s="37"/>
      <c r="K19" s="6" t="s">
        <v>36</v>
      </c>
      <c r="L19" s="39"/>
      <c r="M19" s="41"/>
    </row>
    <row r="20" spans="1:13" x14ac:dyDescent="0.2">
      <c r="A20" s="15" t="s">
        <v>32</v>
      </c>
      <c r="B20" s="16" t="s">
        <v>37</v>
      </c>
      <c r="C20" s="2"/>
      <c r="D20" s="3"/>
      <c r="E20" s="2"/>
      <c r="F20" s="3"/>
      <c r="G20" s="2"/>
      <c r="H20" s="3"/>
      <c r="I20" s="38"/>
      <c r="J20" s="38"/>
      <c r="K20" s="2"/>
      <c r="L20" s="17"/>
      <c r="M20" s="25"/>
    </row>
    <row r="21" spans="1:13" x14ac:dyDescent="0.2">
      <c r="A21" s="18" t="s">
        <v>38</v>
      </c>
      <c r="B21" s="19"/>
      <c r="C21" s="111" t="b">
        <f ca="1">IF(Beitragsrechner!AC22&lt;=18,TRUE,FALSE)</f>
        <v>0</v>
      </c>
      <c r="D21" s="112"/>
      <c r="E21" s="113" t="b">
        <f ca="1">IF(Beitragsrechner!AC33&lt;=18,TRUE,FALSE)</f>
        <v>0</v>
      </c>
      <c r="F21" s="114"/>
      <c r="G21" s="113" t="b">
        <f ca="1">IF(Beitragsrechner!AC42&lt;=18,TRUE,FALSE)</f>
        <v>0</v>
      </c>
      <c r="H21" s="114"/>
      <c r="I21" s="113" t="b">
        <f ca="1">IF(Beitragsrechner!AC51&lt;=18,TRUE,FALSE)</f>
        <v>0</v>
      </c>
      <c r="J21" s="114"/>
      <c r="K21" s="113" t="b">
        <f ca="1">IF(Beitragsrechner!AC61&lt;=18,TRUE,FALSE)</f>
        <v>0</v>
      </c>
      <c r="L21" s="114"/>
      <c r="M21" s="25" t="s">
        <v>39</v>
      </c>
    </row>
    <row r="22" spans="1:13" x14ac:dyDescent="0.2">
      <c r="A22" s="18" t="s">
        <v>40</v>
      </c>
      <c r="B22" s="19"/>
      <c r="C22" s="111" t="b">
        <f>OR(Beitragsrechner!F22="Schulergänzende Betreuung",Beitragsrechner!J24="Ja")</f>
        <v>0</v>
      </c>
      <c r="D22" s="112"/>
      <c r="E22" s="113" t="b">
        <f>OR(Beitragsrechner!F31="Schulergänzende Betreuung",Beitragsrechner!J33="Ja")</f>
        <v>0</v>
      </c>
      <c r="F22" s="114"/>
      <c r="G22" s="113" t="b">
        <f>OR(Beitragsrechner!F40="Schulergänzende Betreuung",Beitragsrechner!J42="Ja")</f>
        <v>0</v>
      </c>
      <c r="H22" s="114"/>
      <c r="I22" s="113" t="b">
        <f>OR(Beitragsrechner!F49="Schulergänzende Betreuung",Beitragsrechner!J51="Ja")</f>
        <v>0</v>
      </c>
      <c r="J22" s="114"/>
      <c r="K22" s="113" t="b">
        <f>OR(Beitragsrechner!F58="Schulergänzende Betreuung",Beitragsrechner!J60="Ja")</f>
        <v>0</v>
      </c>
      <c r="L22" s="114"/>
      <c r="M22" s="25" t="s">
        <v>41</v>
      </c>
    </row>
    <row r="23" spans="1:13" x14ac:dyDescent="0.2">
      <c r="A23" s="18" t="s">
        <v>42</v>
      </c>
      <c r="B23" s="19"/>
      <c r="C23" s="111" t="b">
        <f>AND(C22,Beitragsrechner!F24="Ja")</f>
        <v>0</v>
      </c>
      <c r="D23" s="112"/>
      <c r="E23" s="113" t="b">
        <f>AND(E22,Beitragsrechner!F33="Ja")</f>
        <v>0</v>
      </c>
      <c r="F23" s="114"/>
      <c r="G23" s="113" t="b">
        <f>AND(G22,Beitragsrechner!F42="Ja")</f>
        <v>0</v>
      </c>
      <c r="H23" s="114"/>
      <c r="I23" s="113" t="b">
        <f>AND(I22,Beitragsrechner!F51="Ja")</f>
        <v>0</v>
      </c>
      <c r="J23" s="114"/>
      <c r="K23" s="113" t="b">
        <f>AND(K22,Beitragsrechner!F60="Ja")</f>
        <v>0</v>
      </c>
      <c r="L23" s="114"/>
      <c r="M23" s="25" t="s">
        <v>43</v>
      </c>
    </row>
    <row r="24" spans="1:13" x14ac:dyDescent="0.2">
      <c r="A24" s="18" t="s">
        <v>44</v>
      </c>
      <c r="B24" s="19" t="s">
        <v>24</v>
      </c>
      <c r="C24" s="111">
        <f>Beitragsrechner!F26</f>
        <v>0</v>
      </c>
      <c r="D24" s="112"/>
      <c r="E24" s="113">
        <f>Beitragsrechner!F35</f>
        <v>0</v>
      </c>
      <c r="F24" s="114"/>
      <c r="G24" s="113">
        <f>Beitragsrechner!F44</f>
        <v>0</v>
      </c>
      <c r="H24" s="114"/>
      <c r="I24" s="113">
        <f>Beitragsrechner!F53</f>
        <v>0</v>
      </c>
      <c r="J24" s="114"/>
      <c r="K24" s="113">
        <f>Beitragsrechner!F62</f>
        <v>0</v>
      </c>
      <c r="L24" s="114"/>
      <c r="M24" s="25"/>
    </row>
    <row r="25" spans="1:13" x14ac:dyDescent="0.2">
      <c r="A25" s="18" t="s">
        <v>45</v>
      </c>
      <c r="B25" s="19" t="s">
        <v>46</v>
      </c>
      <c r="C25" s="115">
        <f>MIN(1/5*IF(AND('Rechner Kita SE'!C22,Beitragsrechner!F22="Schulergänzende Betreuung"),Beitragsrechner!AA28,Beitragsrechner!AA27),1)</f>
        <v>0</v>
      </c>
      <c r="D25" s="116"/>
      <c r="E25" s="117">
        <f>MIN(1/5*IF(AND('Rechner Kita SE'!E22,Beitragsrechner!F31="Schulergänzende Betreuung"),Beitragsrechner!AA38,Beitragsrechner!AA37),1)</f>
        <v>0</v>
      </c>
      <c r="F25" s="118"/>
      <c r="G25" s="117">
        <f>MIN(1/5*IF(AND('Rechner Kita SE'!G22,Beitragsrechner!F40="Schulergänzende Betreuung"),Beitragsrechner!AA47,Beitragsrechner!AA46),1)</f>
        <v>0</v>
      </c>
      <c r="H25" s="118"/>
      <c r="I25" s="117">
        <f>MIN(1/5*IF(AND('Rechner Kita SE'!I22,Beitragsrechner!F49="Schulergänzende Betreuung"),Beitragsrechner!AA56,Beitragsrechner!AA55),1)</f>
        <v>0</v>
      </c>
      <c r="J25" s="118"/>
      <c r="K25" s="117">
        <f>MIN(1/5*IF(AND('Rechner Kita SE'!K22,Beitragsrechner!F58="Schulergänzende Betreuung"),Beitragsrechner!AA65,Beitragsrechner!AA64),1)</f>
        <v>0</v>
      </c>
      <c r="L25" s="118"/>
      <c r="M25" s="25" t="s">
        <v>47</v>
      </c>
    </row>
    <row r="26" spans="1:13" x14ac:dyDescent="0.2">
      <c r="A26" s="18" t="s">
        <v>48</v>
      </c>
      <c r="B26" s="19" t="s">
        <v>24</v>
      </c>
      <c r="C26" s="111">
        <f>'Berechnung Einkommen'!E27</f>
        <v>0</v>
      </c>
      <c r="D26" s="112"/>
      <c r="E26" s="113">
        <f>'Berechnung Einkommen'!E27</f>
        <v>0</v>
      </c>
      <c r="F26" s="114"/>
      <c r="G26" s="113">
        <f>'Berechnung Einkommen'!E27</f>
        <v>0</v>
      </c>
      <c r="H26" s="114"/>
      <c r="I26" s="113">
        <f>'Berechnung Einkommen'!E27</f>
        <v>0</v>
      </c>
      <c r="J26" s="114"/>
      <c r="K26" s="113">
        <f>'Berechnung Einkommen'!E27</f>
        <v>0</v>
      </c>
      <c r="L26" s="114"/>
      <c r="M26" s="25"/>
    </row>
    <row r="27" spans="1:13" x14ac:dyDescent="0.2">
      <c r="A27" s="18" t="s">
        <v>49</v>
      </c>
      <c r="B27" s="19" t="s">
        <v>50</v>
      </c>
      <c r="C27" s="111" t="e">
        <f>Beitragsrechner!J18-1</f>
        <v>#VALUE!</v>
      </c>
      <c r="D27" s="112"/>
      <c r="E27" s="113" t="e">
        <f>Beitragsrechner!J18-1</f>
        <v>#VALUE!</v>
      </c>
      <c r="F27" s="114"/>
      <c r="G27" s="113" t="e">
        <f>Beitragsrechner!J18-1</f>
        <v>#VALUE!</v>
      </c>
      <c r="H27" s="114"/>
      <c r="I27" s="113" t="e">
        <f>Beitragsrechner!J18-1</f>
        <v>#VALUE!</v>
      </c>
      <c r="J27" s="114"/>
      <c r="K27" s="113" t="e">
        <f>Beitragsrechner!J18-1</f>
        <v>#VALUE!</v>
      </c>
      <c r="L27" s="114"/>
      <c r="M27" s="25" t="s">
        <v>51</v>
      </c>
    </row>
    <row r="28" spans="1:13" x14ac:dyDescent="0.2">
      <c r="A28" s="14"/>
      <c r="B28" s="19"/>
      <c r="C28" s="106"/>
      <c r="D28" s="13"/>
      <c r="E28" s="48"/>
      <c r="F28" s="1"/>
      <c r="G28" s="48"/>
      <c r="H28" s="1"/>
      <c r="I28" s="48"/>
      <c r="J28" s="1"/>
      <c r="K28" s="48"/>
      <c r="L28" s="13"/>
      <c r="M28" s="25"/>
    </row>
    <row r="29" spans="1:13" x14ac:dyDescent="0.2">
      <c r="A29" s="15" t="s">
        <v>52</v>
      </c>
      <c r="B29" s="20"/>
      <c r="C29" s="2"/>
      <c r="D29" s="17"/>
      <c r="E29" s="47"/>
      <c r="F29" s="3"/>
      <c r="G29" s="47"/>
      <c r="H29" s="3"/>
      <c r="I29" s="47"/>
      <c r="J29" s="3"/>
      <c r="K29" s="47"/>
      <c r="L29" s="17"/>
      <c r="M29" s="25"/>
    </row>
    <row r="30" spans="1:13" x14ac:dyDescent="0.2">
      <c r="A30" s="14" t="s">
        <v>53</v>
      </c>
      <c r="B30" s="19" t="s">
        <v>54</v>
      </c>
      <c r="C30" s="106">
        <f>C25*5</f>
        <v>0</v>
      </c>
      <c r="D30" s="106"/>
      <c r="E30" s="106">
        <f t="shared" ref="E30:I30" si="0">E25*5</f>
        <v>0</v>
      </c>
      <c r="F30" s="106"/>
      <c r="G30" s="106">
        <f t="shared" si="0"/>
        <v>0</v>
      </c>
      <c r="H30" s="106"/>
      <c r="I30" s="106">
        <f t="shared" si="0"/>
        <v>0</v>
      </c>
      <c r="J30" s="106"/>
      <c r="K30" s="106">
        <f>K25*5</f>
        <v>0</v>
      </c>
      <c r="M30" s="25" t="s">
        <v>55</v>
      </c>
    </row>
    <row r="31" spans="1:13" x14ac:dyDescent="0.2">
      <c r="A31" s="14" t="s">
        <v>56</v>
      </c>
      <c r="B31" s="19" t="s">
        <v>54</v>
      </c>
      <c r="C31" s="106">
        <f>4.1*C30</f>
        <v>0</v>
      </c>
      <c r="D31" s="106"/>
      <c r="E31" s="106">
        <f t="shared" ref="E31:I31" si="1">4.1*E30</f>
        <v>0</v>
      </c>
      <c r="F31" s="106"/>
      <c r="G31" s="106">
        <f t="shared" si="1"/>
        <v>0</v>
      </c>
      <c r="H31" s="106"/>
      <c r="I31" s="106">
        <f t="shared" si="1"/>
        <v>0</v>
      </c>
      <c r="J31" s="106"/>
      <c r="K31" s="106">
        <f>4.1*K30</f>
        <v>0</v>
      </c>
      <c r="M31" s="25" t="s">
        <v>57</v>
      </c>
    </row>
    <row r="32" spans="1:13" x14ac:dyDescent="0.2">
      <c r="A32" s="14"/>
      <c r="B32" s="19"/>
      <c r="C32" s="106"/>
      <c r="D32" s="13"/>
      <c r="E32" s="48"/>
      <c r="F32" s="1"/>
      <c r="G32" s="48"/>
      <c r="H32" s="1"/>
      <c r="I32" s="48"/>
      <c r="J32" s="1"/>
      <c r="K32" s="48"/>
      <c r="L32" s="13"/>
      <c r="M32" s="25"/>
    </row>
    <row r="33" spans="1:13" x14ac:dyDescent="0.2">
      <c r="A33" s="15" t="s">
        <v>58</v>
      </c>
      <c r="B33" s="20"/>
      <c r="C33" s="2"/>
      <c r="D33" s="17"/>
      <c r="E33" s="47"/>
      <c r="F33" s="3"/>
      <c r="G33" s="47"/>
      <c r="H33" s="3"/>
      <c r="I33" s="47"/>
      <c r="J33" s="3"/>
      <c r="K33" s="47"/>
      <c r="L33" s="17"/>
      <c r="M33" s="25"/>
    </row>
    <row r="34" spans="1:13" x14ac:dyDescent="0.2">
      <c r="A34" s="14" t="s">
        <v>59</v>
      </c>
      <c r="B34" s="19" t="s">
        <v>46</v>
      </c>
      <c r="C34" s="107" t="e">
        <f>C27*10%</f>
        <v>#VALUE!</v>
      </c>
      <c r="D34" s="107"/>
      <c r="E34" s="107" t="e">
        <f>E27*10%</f>
        <v>#VALUE!</v>
      </c>
      <c r="F34" s="107"/>
      <c r="G34" s="107" t="e">
        <f t="shared" ref="G34:K34" si="2">G27*10%</f>
        <v>#VALUE!</v>
      </c>
      <c r="H34" s="107"/>
      <c r="I34" s="107" t="e">
        <f t="shared" si="2"/>
        <v>#VALUE!</v>
      </c>
      <c r="J34" s="107"/>
      <c r="K34" s="107" t="e">
        <f t="shared" si="2"/>
        <v>#VALUE!</v>
      </c>
      <c r="L34" s="44"/>
      <c r="M34" s="25"/>
    </row>
    <row r="35" spans="1:13" x14ac:dyDescent="0.2">
      <c r="A35" s="14"/>
      <c r="B35" s="19"/>
      <c r="C35" s="106"/>
      <c r="D35" s="13"/>
      <c r="E35" s="48"/>
      <c r="F35" s="1"/>
      <c r="G35" s="48"/>
      <c r="H35" s="1"/>
      <c r="I35" s="48"/>
      <c r="J35" s="1"/>
      <c r="K35" s="48"/>
      <c r="L35" s="13"/>
      <c r="M35" s="25"/>
    </row>
    <row r="36" spans="1:13" x14ac:dyDescent="0.2">
      <c r="A36" s="15" t="s">
        <v>60</v>
      </c>
      <c r="B36" s="20"/>
      <c r="C36" s="2"/>
      <c r="D36" s="17"/>
      <c r="E36" s="47"/>
      <c r="F36" s="3"/>
      <c r="G36" s="47"/>
      <c r="H36" s="3"/>
      <c r="I36" s="47"/>
      <c r="J36" s="3"/>
      <c r="K36" s="47"/>
      <c r="L36" s="17"/>
    </row>
    <row r="37" spans="1:13" x14ac:dyDescent="0.2">
      <c r="A37" s="14" t="s">
        <v>61</v>
      </c>
      <c r="B37" s="19" t="s">
        <v>24</v>
      </c>
      <c r="C37" s="106">
        <f ca="1">IF(C21,$C$9,IF(C22,IF(C23,$C$11,$C$12),$C$10))</f>
        <v>130</v>
      </c>
      <c r="D37" s="106"/>
      <c r="E37" s="106">
        <f ca="1">IF(E21,$C$9,IF(E22,IF(E23,$C$11,$C$12),$C$10))</f>
        <v>130</v>
      </c>
      <c r="F37" s="106"/>
      <c r="G37" s="106">
        <f ca="1">IF(G21,$C$9,IF(G22,IF(G23,$C$11,$C$12),$C$10))</f>
        <v>130</v>
      </c>
      <c r="H37" s="106"/>
      <c r="I37" s="106">
        <f ca="1">IF(I21,$C$9,IF(I22,IF(I23,$C$11,$C$12),$C$10))</f>
        <v>130</v>
      </c>
      <c r="J37" s="106"/>
      <c r="K37" s="106">
        <f ca="1">IF(K21,$C$9,IF(K22,IF(K23,$C$11,$C$12),$C$10))</f>
        <v>130</v>
      </c>
      <c r="L37" s="13"/>
      <c r="M37" s="25" t="s">
        <v>62</v>
      </c>
    </row>
    <row r="38" spans="1:13" x14ac:dyDescent="0.2">
      <c r="A38" s="14" t="s">
        <v>63</v>
      </c>
      <c r="B38" s="19" t="s">
        <v>24</v>
      </c>
      <c r="C38" s="108">
        <f ca="1">MIN(C37,C24)</f>
        <v>0</v>
      </c>
      <c r="D38" s="108"/>
      <c r="E38" s="108">
        <f ca="1">MIN(E37,E24)</f>
        <v>0</v>
      </c>
      <c r="F38" s="108"/>
      <c r="G38" s="108">
        <f t="shared" ref="G38:K38" ca="1" si="3">MIN(G37,G24)</f>
        <v>0</v>
      </c>
      <c r="H38" s="108"/>
      <c r="I38" s="108">
        <f t="shared" ca="1" si="3"/>
        <v>0</v>
      </c>
      <c r="J38" s="108"/>
      <c r="K38" s="108">
        <f t="shared" ca="1" si="3"/>
        <v>0</v>
      </c>
      <c r="L38" s="100"/>
      <c r="M38" s="25" t="s">
        <v>64</v>
      </c>
    </row>
    <row r="39" spans="1:13" x14ac:dyDescent="0.2">
      <c r="A39" s="14"/>
      <c r="B39" s="19"/>
      <c r="C39" s="106"/>
      <c r="D39" s="13"/>
      <c r="E39" s="48"/>
      <c r="F39" s="1"/>
      <c r="G39" s="48"/>
      <c r="H39" s="1"/>
      <c r="I39" s="48"/>
      <c r="J39" s="1"/>
      <c r="K39" s="48"/>
      <c r="L39" s="13"/>
      <c r="M39" s="25"/>
    </row>
    <row r="40" spans="1:13" x14ac:dyDescent="0.2">
      <c r="A40" s="15" t="s">
        <v>135</v>
      </c>
      <c r="B40" s="20"/>
      <c r="C40" s="2"/>
      <c r="D40" s="17"/>
      <c r="E40" s="47"/>
      <c r="F40" s="3"/>
      <c r="G40" s="47"/>
      <c r="H40" s="3"/>
      <c r="I40" s="47"/>
      <c r="J40" s="3"/>
      <c r="K40" s="47"/>
      <c r="L40" s="17"/>
      <c r="M40" s="25"/>
    </row>
    <row r="41" spans="1:13" x14ac:dyDescent="0.2">
      <c r="A41" s="14" t="s">
        <v>134</v>
      </c>
      <c r="B41" s="19" t="s">
        <v>46</v>
      </c>
      <c r="C41" s="109" t="e">
        <f ca="1">IF(C37&gt;0,$C$14/C37*(1-C34),0)</f>
        <v>#VALUE!</v>
      </c>
      <c r="D41" s="109"/>
      <c r="E41" s="109">
        <f ca="1">IF(E38&gt;0,$C$14/E38*(1-E34),0)</f>
        <v>0</v>
      </c>
      <c r="F41" s="109"/>
      <c r="G41" s="109">
        <f t="shared" ref="G41:K41" ca="1" si="4">IF(G38&gt;0,$C$14/G38*(1-G34),0)</f>
        <v>0</v>
      </c>
      <c r="H41" s="109"/>
      <c r="I41" s="109">
        <f t="shared" ca="1" si="4"/>
        <v>0</v>
      </c>
      <c r="J41" s="109"/>
      <c r="K41" s="109">
        <f t="shared" ca="1" si="4"/>
        <v>0</v>
      </c>
      <c r="L41" s="101"/>
      <c r="M41" s="26" t="s">
        <v>65</v>
      </c>
    </row>
    <row r="42" spans="1:13" x14ac:dyDescent="0.2">
      <c r="A42" s="14" t="s">
        <v>66</v>
      </c>
      <c r="B42" s="19" t="s">
        <v>46</v>
      </c>
      <c r="C42" s="110" t="e">
        <f ca="1">(1-C41)/($C$6-$C$5)</f>
        <v>#VALUE!</v>
      </c>
      <c r="D42" s="110"/>
      <c r="E42" s="110">
        <f ca="1">(1-E41)/($C$6-$C$5)</f>
        <v>9.4320046782743208E-6</v>
      </c>
      <c r="F42" s="110"/>
      <c r="G42" s="110">
        <f t="shared" ref="G42:K42" ca="1" si="5">(1-G41)/($C$6-$C$5)</f>
        <v>9.4320046782743208E-6</v>
      </c>
      <c r="H42" s="110"/>
      <c r="I42" s="110">
        <f t="shared" ca="1" si="5"/>
        <v>9.4320046782743208E-6</v>
      </c>
      <c r="J42" s="110"/>
      <c r="K42" s="110">
        <f t="shared" ca="1" si="5"/>
        <v>9.4320046782743208E-6</v>
      </c>
      <c r="L42" s="4"/>
      <c r="M42" s="27" t="s">
        <v>67</v>
      </c>
    </row>
    <row r="43" spans="1:13" x14ac:dyDescent="0.2">
      <c r="A43" s="14"/>
      <c r="B43" s="19"/>
      <c r="C43" s="110"/>
      <c r="D43" s="102"/>
      <c r="E43" s="50"/>
      <c r="F43" s="4"/>
      <c r="G43" s="50"/>
      <c r="H43" s="4"/>
      <c r="I43" s="50"/>
      <c r="J43" s="4"/>
      <c r="K43" s="50"/>
      <c r="L43" s="4"/>
      <c r="M43" s="29"/>
    </row>
    <row r="44" spans="1:13" x14ac:dyDescent="0.2">
      <c r="A44" s="15" t="s">
        <v>68</v>
      </c>
      <c r="B44" s="20"/>
      <c r="C44" s="2"/>
      <c r="D44" s="17"/>
      <c r="E44" s="47"/>
      <c r="F44" s="3"/>
      <c r="G44" s="47"/>
      <c r="H44" s="3"/>
      <c r="I44" s="47"/>
      <c r="J44" s="3"/>
      <c r="K44" s="47"/>
      <c r="L44" s="17"/>
      <c r="M44" s="25"/>
    </row>
    <row r="45" spans="1:13" x14ac:dyDescent="0.2">
      <c r="A45" s="14" t="s">
        <v>69</v>
      </c>
      <c r="B45" s="19" t="s">
        <v>46</v>
      </c>
      <c r="C45" s="109" t="e">
        <f ca="1">IF(MIN(C41+C42*(C26-$C$5),1)&lt;0,0,MIN(C41+C42*(C26-$C$5),1))</f>
        <v>#VALUE!</v>
      </c>
      <c r="D45" s="109"/>
      <c r="E45" s="109">
        <f t="shared" ref="E45:K45" ca="1" si="6">IF(MIN(E41+E42*(E26-$C$5),1)&lt;0,0,MIN(E41+E42*(E26-$C$5),1))</f>
        <v>0</v>
      </c>
      <c r="F45" s="109"/>
      <c r="G45" s="109">
        <f t="shared" ca="1" si="6"/>
        <v>0</v>
      </c>
      <c r="H45" s="109"/>
      <c r="I45" s="109">
        <f t="shared" ca="1" si="6"/>
        <v>0</v>
      </c>
      <c r="J45" s="109"/>
      <c r="K45" s="109">
        <f t="shared" ca="1" si="6"/>
        <v>0</v>
      </c>
      <c r="L45" s="45"/>
      <c r="M45" s="30" t="s">
        <v>70</v>
      </c>
    </row>
    <row r="46" spans="1:13" x14ac:dyDescent="0.2">
      <c r="A46" s="14" t="s">
        <v>71</v>
      </c>
      <c r="B46" s="19" t="s">
        <v>24</v>
      </c>
      <c r="C46" s="96" t="e">
        <f ca="1">C38*C45</f>
        <v>#VALUE!</v>
      </c>
      <c r="D46" s="96"/>
      <c r="E46" s="96">
        <f t="shared" ref="E46:K46" ca="1" si="7">E38*E45</f>
        <v>0</v>
      </c>
      <c r="F46" s="96"/>
      <c r="G46" s="96">
        <f t="shared" ca="1" si="7"/>
        <v>0</v>
      </c>
      <c r="H46" s="96"/>
      <c r="I46" s="96">
        <f t="shared" ca="1" si="7"/>
        <v>0</v>
      </c>
      <c r="J46" s="96"/>
      <c r="K46" s="96">
        <f t="shared" ca="1" si="7"/>
        <v>0</v>
      </c>
      <c r="L46" s="22"/>
      <c r="M46" s="29" t="s">
        <v>72</v>
      </c>
    </row>
    <row r="47" spans="1:13" x14ac:dyDescent="0.2">
      <c r="A47" s="14"/>
      <c r="B47" s="19"/>
      <c r="C47" s="110"/>
      <c r="D47" s="102"/>
      <c r="E47" s="50"/>
      <c r="F47" s="40"/>
      <c r="G47" s="50"/>
      <c r="H47" s="40"/>
      <c r="I47" s="50"/>
      <c r="J47" s="40"/>
      <c r="K47" s="50"/>
      <c r="M47" s="27"/>
    </row>
    <row r="48" spans="1:13" x14ac:dyDescent="0.2">
      <c r="A48" s="15" t="s">
        <v>73</v>
      </c>
      <c r="B48" s="20"/>
      <c r="C48" s="2"/>
      <c r="D48" s="17"/>
      <c r="E48" s="47"/>
      <c r="F48" s="3"/>
      <c r="G48" s="47"/>
      <c r="H48" s="3"/>
      <c r="I48" s="47"/>
      <c r="J48" s="3"/>
      <c r="K48" s="47"/>
      <c r="L48" s="38"/>
      <c r="M48" s="25"/>
    </row>
    <row r="49" spans="1:13" x14ac:dyDescent="0.2">
      <c r="A49" s="42" t="s">
        <v>74</v>
      </c>
      <c r="B49" s="19" t="s">
        <v>24</v>
      </c>
      <c r="C49" s="97">
        <f>IF(OR(Beitragsrechner!F22="Kindertagesstätte (Kita)",Beitragsrechner!F22="Schulergänzende Betreuung"),C38*(1-C45),0)</f>
        <v>0</v>
      </c>
      <c r="D49" s="97"/>
      <c r="E49" s="97">
        <f>IF(OR(Beitragsrechner!F31="Kindertagesstätte (Kita)",Beitragsrechner!F31="Schulergänzende Betreuung"),E38*(1-E45),0)</f>
        <v>0</v>
      </c>
      <c r="F49" s="97"/>
      <c r="G49" s="97">
        <f>IF(OR(Beitragsrechner!F40="Kindertagesstätte (Kita)",Beitragsrechner!F40="Schulergänzende Betreuung"),G38*(1-G45),0)</f>
        <v>0</v>
      </c>
      <c r="H49" s="97"/>
      <c r="I49" s="97">
        <f>IF(OR(Beitragsrechner!F49="Kindertagesstätte (Kita)",Beitragsrechner!F49="Schulergänzende Betreuung"),I38*(1-I45),0)</f>
        <v>0</v>
      </c>
      <c r="J49" s="97"/>
      <c r="K49" s="97">
        <f>IF(OR(Beitragsrechner!F58="Kindertagesstätte (Kita)",Beitragsrechner!F58="Schulergänzende Betreuung"),K38*(1-K45),0)</f>
        <v>0</v>
      </c>
      <c r="L49" s="46"/>
      <c r="M49" s="28" t="s">
        <v>75</v>
      </c>
    </row>
    <row r="50" spans="1:13" x14ac:dyDescent="0.2">
      <c r="A50" t="s">
        <v>76</v>
      </c>
      <c r="B50" s="19" t="s">
        <v>24</v>
      </c>
      <c r="C50" s="96" t="e">
        <f ca="1">MAX(C14-C46,0)</f>
        <v>#VALUE!</v>
      </c>
      <c r="D50" s="104"/>
      <c r="E50" s="51">
        <f ca="1">MAX(C14-E46,0)</f>
        <v>30</v>
      </c>
      <c r="F50" s="51"/>
      <c r="G50" s="51">
        <f ca="1">MAX(C14-G46,0)</f>
        <v>30</v>
      </c>
      <c r="H50" s="51"/>
      <c r="I50" s="51">
        <f ca="1">MAX(C14-I46,0)</f>
        <v>30</v>
      </c>
      <c r="J50" s="51"/>
      <c r="K50" s="51">
        <f ca="1">MAX(C14-K46,0)</f>
        <v>30</v>
      </c>
      <c r="L50" s="51"/>
      <c r="M50" s="56"/>
    </row>
    <row r="51" spans="1:13" x14ac:dyDescent="0.2">
      <c r="A51" s="54" t="s">
        <v>77</v>
      </c>
      <c r="B51" s="55" t="s">
        <v>24</v>
      </c>
      <c r="C51" s="98" t="e">
        <f ca="1">MAX(C49-C50,0)</f>
        <v>#VALUE!</v>
      </c>
      <c r="D51" s="98"/>
      <c r="E51" s="98">
        <f ca="1">MAX(E49-E50,0)</f>
        <v>0</v>
      </c>
      <c r="F51" s="98"/>
      <c r="G51" s="98">
        <f ca="1">MAX(G49-G50,0)</f>
        <v>0</v>
      </c>
      <c r="H51" s="98"/>
      <c r="I51" s="98">
        <f ca="1">MAX(I49-I50,0)</f>
        <v>0</v>
      </c>
      <c r="J51" s="98"/>
      <c r="K51" s="98">
        <f t="shared" ref="K51" ca="1" si="8">MAX(K49-K50,0)</f>
        <v>0</v>
      </c>
      <c r="L51" s="46"/>
      <c r="M51" s="56" t="s">
        <v>78</v>
      </c>
    </row>
    <row r="52" spans="1:13" x14ac:dyDescent="0.2">
      <c r="A52" t="s">
        <v>79</v>
      </c>
      <c r="B52" s="19" t="s">
        <v>24</v>
      </c>
      <c r="C52" s="96" t="e">
        <f ca="1">C51*C31</f>
        <v>#VALUE!</v>
      </c>
      <c r="D52" s="105"/>
      <c r="E52" s="51">
        <f ca="1">E51*E31</f>
        <v>0</v>
      </c>
      <c r="F52" s="22"/>
      <c r="G52" s="51">
        <f ca="1">G51*G31</f>
        <v>0</v>
      </c>
      <c r="H52" s="22"/>
      <c r="I52" s="51">
        <f ca="1">I51*I31</f>
        <v>0</v>
      </c>
      <c r="J52" s="22"/>
      <c r="K52" s="51">
        <f ca="1">K51*K31</f>
        <v>0</v>
      </c>
      <c r="L52" s="58"/>
      <c r="M52" s="57" t="s">
        <v>80</v>
      </c>
    </row>
    <row r="53" spans="1:13" x14ac:dyDescent="0.2">
      <c r="A53" t="s">
        <v>139</v>
      </c>
      <c r="B53" s="19"/>
      <c r="C53" s="133">
        <f>IF(OR(Beitragsrechner!F22="Kindertagesstätte (Kita)",Beitragsrechner!F22="Schulergänzende Betreuung"),C31*(C24-C51),0)</f>
        <v>0</v>
      </c>
      <c r="D53" s="22"/>
      <c r="E53" s="132">
        <f>IF(OR(Beitragsrechner!F31="Kindertagesstätte (Kita)",Beitragsrechner!F31="Schulergänzende Betreuung"),E31*(E24-E51),0)</f>
        <v>0</v>
      </c>
      <c r="F53" s="22"/>
      <c r="G53" s="132">
        <f>IF(OR(Beitragsrechner!F40="Kindertagesstätte (Kita)",Beitragsrechner!F40="Schulergänzende Betreuung"),G31*(G24-G51),0)</f>
        <v>0</v>
      </c>
      <c r="H53" s="132"/>
      <c r="I53" s="132">
        <f>IF(OR(Beitragsrechner!F49="Kindertagesstätte (Kita)",Beitragsrechner!F49="Schulergänzende Betreuung"),I31*(I24-I51),0)</f>
        <v>0</v>
      </c>
      <c r="J53" s="132"/>
      <c r="K53" s="132">
        <f>IF(OR(Beitragsrechner!F58="Kindertagesstätte (Kita)",Beitragsrechner!F58="Schulergänzende Betreuung"),K31*(K24-K51),0)</f>
        <v>0</v>
      </c>
      <c r="L53" s="46"/>
      <c r="M53" s="134"/>
    </row>
    <row r="54" spans="1:13" x14ac:dyDescent="0.2">
      <c r="A54" s="10"/>
      <c r="B54" s="52"/>
      <c r="C54" s="94"/>
      <c r="D54" s="19"/>
      <c r="E54" s="53"/>
      <c r="F54" s="53"/>
      <c r="G54" s="53"/>
      <c r="H54" s="53"/>
      <c r="I54" s="53"/>
      <c r="J54" s="53"/>
      <c r="K54" s="53"/>
      <c r="L54" s="45"/>
      <c r="M54"/>
    </row>
    <row r="55" spans="1:13" x14ac:dyDescent="0.2">
      <c r="B55" s="19"/>
      <c r="C55" s="19"/>
      <c r="D55" s="19"/>
      <c r="E55" s="43"/>
      <c r="F55" s="43"/>
      <c r="G55" s="43"/>
      <c r="H55" s="43"/>
      <c r="I55" s="43"/>
      <c r="J55" s="43"/>
      <c r="K55" s="43"/>
      <c r="L55" s="45"/>
      <c r="M55"/>
    </row>
    <row r="56" spans="1:13" x14ac:dyDescent="0.2">
      <c r="K56" s="43"/>
    </row>
  </sheetData>
  <pageMargins left="0.7" right="0.7" top="0.78740157499999996" bottom="0.78740157499999996"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pageSetUpPr fitToPage="1"/>
  </sheetPr>
  <dimension ref="A1:O66"/>
  <sheetViews>
    <sheetView zoomScale="85" zoomScaleNormal="85" workbookViewId="0">
      <selection activeCell="I47" sqref="I47"/>
    </sheetView>
  </sheetViews>
  <sheetFormatPr baseColWidth="10" defaultColWidth="11.42578125" defaultRowHeight="12.75" x14ac:dyDescent="0.2"/>
  <cols>
    <col min="1" max="1" width="60.5703125" customWidth="1"/>
    <col min="2" max="2" width="7.5703125" customWidth="1"/>
    <col min="3" max="3" width="19.42578125" bestFit="1" customWidth="1"/>
    <col min="4" max="4" width="2.28515625" customWidth="1"/>
    <col min="5" max="5" width="20.42578125" bestFit="1" customWidth="1"/>
    <col min="6" max="6" width="2.5703125" customWidth="1"/>
    <col min="7" max="7" width="18" customWidth="1"/>
    <col min="8" max="8" width="2.42578125" customWidth="1"/>
    <col min="9" max="9" width="20.28515625" customWidth="1"/>
    <col min="10" max="10" width="2.42578125" customWidth="1"/>
    <col min="11" max="11" width="20.28515625" customWidth="1"/>
    <col min="12" max="12" width="2.42578125" customWidth="1"/>
    <col min="13" max="13" width="74.7109375" style="5" customWidth="1"/>
  </cols>
  <sheetData>
    <row r="1" spans="1:15" ht="18" x14ac:dyDescent="0.25">
      <c r="A1" s="8" t="s">
        <v>82</v>
      </c>
      <c r="B1" s="9"/>
      <c r="C1" s="9"/>
      <c r="D1" s="9"/>
      <c r="E1" s="10"/>
      <c r="F1" s="10"/>
      <c r="G1" s="10"/>
      <c r="H1" s="10"/>
      <c r="I1" s="10"/>
      <c r="M1" s="78"/>
    </row>
    <row r="3" spans="1:15" x14ac:dyDescent="0.2">
      <c r="A3" s="12" t="s">
        <v>21</v>
      </c>
      <c r="B3" s="23"/>
      <c r="C3" s="23"/>
      <c r="D3" s="23"/>
      <c r="E3" s="95" t="s">
        <v>0</v>
      </c>
      <c r="F3" s="75"/>
      <c r="G3" s="75"/>
      <c r="H3" s="75"/>
      <c r="I3" s="75"/>
      <c r="J3" s="75"/>
      <c r="K3" s="75"/>
      <c r="L3" s="75"/>
      <c r="M3" s="77"/>
    </row>
    <row r="4" spans="1:15" x14ac:dyDescent="0.2">
      <c r="A4" s="16" t="s">
        <v>22</v>
      </c>
      <c r="B4" s="20"/>
      <c r="C4" s="38"/>
      <c r="D4" s="38"/>
      <c r="E4" s="76"/>
      <c r="F4" s="76"/>
      <c r="G4" s="76"/>
      <c r="H4" s="76"/>
      <c r="I4" s="76"/>
      <c r="J4" s="76"/>
      <c r="K4" s="76"/>
      <c r="L4" s="76"/>
      <c r="M4" s="77"/>
    </row>
    <row r="5" spans="1:15" x14ac:dyDescent="0.2">
      <c r="A5" s="21" t="s">
        <v>23</v>
      </c>
      <c r="B5" s="19" t="s">
        <v>24</v>
      </c>
      <c r="C5" s="43">
        <v>47193</v>
      </c>
      <c r="M5" s="77"/>
    </row>
    <row r="6" spans="1:15" x14ac:dyDescent="0.2">
      <c r="A6" s="14" t="s">
        <v>25</v>
      </c>
      <c r="B6" s="19" t="s">
        <v>24</v>
      </c>
      <c r="C6" s="43">
        <v>153215</v>
      </c>
      <c r="M6" s="77"/>
    </row>
    <row r="7" spans="1:15" x14ac:dyDescent="0.2">
      <c r="A7" s="14"/>
      <c r="M7" s="77"/>
    </row>
    <row r="8" spans="1:15" x14ac:dyDescent="0.2">
      <c r="A8" s="16" t="s">
        <v>99</v>
      </c>
      <c r="B8" s="20"/>
      <c r="C8" s="38"/>
      <c r="D8" s="38"/>
      <c r="E8" t="s">
        <v>101</v>
      </c>
      <c r="M8" s="77"/>
    </row>
    <row r="9" spans="1:15" x14ac:dyDescent="0.2">
      <c r="A9" s="14" t="s">
        <v>27</v>
      </c>
      <c r="B9" s="19" t="s">
        <v>24</v>
      </c>
      <c r="C9">
        <v>120</v>
      </c>
      <c r="E9">
        <f>C9/10</f>
        <v>12</v>
      </c>
      <c r="M9" s="77"/>
    </row>
    <row r="10" spans="1:15" x14ac:dyDescent="0.2">
      <c r="A10" s="14" t="s">
        <v>28</v>
      </c>
      <c r="B10" s="19" t="s">
        <v>24</v>
      </c>
      <c r="C10">
        <v>90</v>
      </c>
      <c r="E10">
        <f>C10/10</f>
        <v>9</v>
      </c>
      <c r="I10" s="79"/>
      <c r="M10" s="77"/>
      <c r="O10" s="79"/>
    </row>
    <row r="11" spans="1:15" x14ac:dyDescent="0.2">
      <c r="A11" s="14" t="s">
        <v>29</v>
      </c>
      <c r="B11" s="19" t="s">
        <v>24</v>
      </c>
      <c r="C11">
        <v>36</v>
      </c>
      <c r="E11">
        <f>C11/10</f>
        <v>3.6</v>
      </c>
      <c r="I11" s="79"/>
      <c r="M11" s="77"/>
    </row>
    <row r="12" spans="1:15" x14ac:dyDescent="0.2">
      <c r="A12" s="14" t="s">
        <v>30</v>
      </c>
      <c r="B12" s="19" t="s">
        <v>24</v>
      </c>
      <c r="C12">
        <v>60</v>
      </c>
      <c r="E12">
        <f>C12/10</f>
        <v>6</v>
      </c>
      <c r="M12" s="77"/>
    </row>
    <row r="13" spans="1:15" x14ac:dyDescent="0.2">
      <c r="A13" s="14"/>
      <c r="B13" s="19"/>
      <c r="M13" s="77"/>
    </row>
    <row r="14" spans="1:15" x14ac:dyDescent="0.2">
      <c r="A14" s="14" t="s">
        <v>31</v>
      </c>
      <c r="B14" s="19" t="s">
        <v>24</v>
      </c>
      <c r="C14">
        <v>30</v>
      </c>
      <c r="D14" s="61"/>
      <c r="E14">
        <f>C14/10</f>
        <v>3</v>
      </c>
      <c r="F14" s="61"/>
      <c r="G14" s="61"/>
      <c r="H14" s="61"/>
      <c r="I14" s="61"/>
      <c r="J14" s="61"/>
      <c r="K14" s="61"/>
      <c r="L14" s="61"/>
    </row>
    <row r="15" spans="1:15" x14ac:dyDescent="0.2">
      <c r="A15" s="14" t="s">
        <v>100</v>
      </c>
      <c r="B15" s="19" t="s">
        <v>24</v>
      </c>
      <c r="C15">
        <v>4</v>
      </c>
      <c r="M15" s="77"/>
    </row>
    <row r="16" spans="1:15" x14ac:dyDescent="0.2">
      <c r="A16" s="12" t="s">
        <v>32</v>
      </c>
      <c r="B16" s="23"/>
      <c r="C16" s="23"/>
      <c r="D16" s="23"/>
      <c r="E16" s="23"/>
      <c r="F16" s="23"/>
      <c r="G16" s="23"/>
      <c r="H16" s="23"/>
      <c r="I16" s="23"/>
      <c r="J16" s="227"/>
      <c r="K16" s="227"/>
      <c r="L16" s="227"/>
      <c r="M16" s="77"/>
    </row>
    <row r="17" spans="1:13" x14ac:dyDescent="0.2">
      <c r="A17" s="31"/>
      <c r="B17" s="32"/>
      <c r="C17" s="36" t="s">
        <v>33</v>
      </c>
      <c r="D17" s="33">
        <v>1</v>
      </c>
      <c r="E17" s="36" t="s">
        <v>34</v>
      </c>
      <c r="F17" s="33">
        <v>2</v>
      </c>
      <c r="G17" s="36" t="s">
        <v>34</v>
      </c>
      <c r="H17" s="36">
        <v>3</v>
      </c>
      <c r="I17" s="36" t="s">
        <v>34</v>
      </c>
      <c r="J17" s="34">
        <v>4</v>
      </c>
      <c r="K17" s="36" t="s">
        <v>33</v>
      </c>
      <c r="L17" s="34">
        <v>5</v>
      </c>
      <c r="M17" s="35" t="s">
        <v>35</v>
      </c>
    </row>
    <row r="18" spans="1:13" x14ac:dyDescent="0.2">
      <c r="A18" s="14"/>
      <c r="B18" s="11"/>
      <c r="C18" s="197" t="s">
        <v>36</v>
      </c>
      <c r="D18" s="208"/>
      <c r="E18" s="210" t="s">
        <v>36</v>
      </c>
      <c r="F18" s="208"/>
      <c r="G18" s="210" t="s">
        <v>36</v>
      </c>
      <c r="H18" s="37"/>
      <c r="I18" s="210" t="s">
        <v>36</v>
      </c>
      <c r="J18" s="208"/>
      <c r="K18" s="210" t="s">
        <v>36</v>
      </c>
      <c r="L18" s="208"/>
      <c r="M18" s="226"/>
    </row>
    <row r="19" spans="1:13" x14ac:dyDescent="0.2">
      <c r="A19" s="15" t="s">
        <v>32</v>
      </c>
      <c r="B19" s="203" t="s">
        <v>37</v>
      </c>
      <c r="C19" s="17"/>
      <c r="D19" s="185"/>
      <c r="E19" s="211"/>
      <c r="F19" s="185"/>
      <c r="G19" s="211"/>
      <c r="H19" s="38"/>
      <c r="I19" s="211"/>
      <c r="J19" s="185"/>
      <c r="K19" s="211"/>
      <c r="L19" s="185"/>
      <c r="M19" s="25"/>
    </row>
    <row r="20" spans="1:13" x14ac:dyDescent="0.2">
      <c r="A20" s="18" t="s">
        <v>84</v>
      </c>
      <c r="B20" s="204"/>
      <c r="C20" s="112" t="b">
        <f>IF(Beitragsrechner!J22&lt;=18,TRUE,FALSE)</f>
        <v>1</v>
      </c>
      <c r="D20" s="114"/>
      <c r="E20" s="212" t="b">
        <f>IF(Beitragsrechner!J31&lt;=18,TRUE,FALSE)</f>
        <v>1</v>
      </c>
      <c r="F20" s="114"/>
      <c r="G20" s="212" t="b">
        <f>IF(Beitragsrechner!J40&lt;=18,TRUE,FALSE)</f>
        <v>1</v>
      </c>
      <c r="H20" s="114"/>
      <c r="I20" s="212" t="b">
        <f>IF(Beitragsrechner!J49&lt;=18,TRUE,FALSE)</f>
        <v>1</v>
      </c>
      <c r="J20" s="114"/>
      <c r="K20" s="212" t="b">
        <f>IF(Beitragsrechner!J58&lt;=18,TRUE,FALSE)</f>
        <v>1</v>
      </c>
      <c r="L20" s="114"/>
      <c r="M20" s="25" t="s">
        <v>39</v>
      </c>
    </row>
    <row r="21" spans="1:13" x14ac:dyDescent="0.2">
      <c r="A21" s="18" t="s">
        <v>40</v>
      </c>
      <c r="B21" s="204"/>
      <c r="C21" s="112" t="b">
        <f>Beitragsrechner!J24="Ja"</f>
        <v>0</v>
      </c>
      <c r="D21" s="114"/>
      <c r="E21" s="212" t="b">
        <f>Beitragsrechner!J33="Ja"</f>
        <v>0</v>
      </c>
      <c r="F21" s="114"/>
      <c r="G21" s="212" t="b">
        <f>Beitragsrechner!J42="Ja"</f>
        <v>0</v>
      </c>
      <c r="H21" s="114"/>
      <c r="I21" s="212" t="b">
        <f>Beitragsrechner!J51="Ja"</f>
        <v>0</v>
      </c>
      <c r="J21" s="114"/>
      <c r="K21" s="212" t="b">
        <f>Beitragsrechner!J60="Ja"</f>
        <v>0</v>
      </c>
      <c r="L21" s="114"/>
      <c r="M21" s="25" t="s">
        <v>41</v>
      </c>
    </row>
    <row r="22" spans="1:13" x14ac:dyDescent="0.2">
      <c r="A22" s="18" t="s">
        <v>42</v>
      </c>
      <c r="B22" s="204"/>
      <c r="C22" s="112" t="b">
        <f>AND(C21,Beitragsrechner!F24="Ja")</f>
        <v>0</v>
      </c>
      <c r="D22" s="114"/>
      <c r="E22" s="212" t="b">
        <f>AND(E21,Beitragsrechner!F33="Ja")</f>
        <v>0</v>
      </c>
      <c r="F22" s="114"/>
      <c r="G22" s="212" t="b">
        <f>AND(G21,Beitragsrechner!F42="Ja")</f>
        <v>0</v>
      </c>
      <c r="H22" s="114"/>
      <c r="I22" s="212" t="b">
        <f>AND(I21,Beitragsrechner!F51="Ja")</f>
        <v>0</v>
      </c>
      <c r="J22" s="114"/>
      <c r="K22" s="212" t="b">
        <f>AND(K21,Beitragsrechner!F60="Ja")</f>
        <v>0</v>
      </c>
      <c r="L22" s="114"/>
      <c r="M22" s="25" t="s">
        <v>43</v>
      </c>
    </row>
    <row r="23" spans="1:13" x14ac:dyDescent="0.2">
      <c r="A23" s="18" t="s">
        <v>85</v>
      </c>
      <c r="B23" s="204" t="s">
        <v>24</v>
      </c>
      <c r="C23" s="112">
        <f>Beitragsrechner!F27</f>
        <v>0</v>
      </c>
      <c r="D23" s="114"/>
      <c r="E23" s="212">
        <f>Beitragsrechner!F36</f>
        <v>0</v>
      </c>
      <c r="F23" s="114"/>
      <c r="G23" s="212">
        <f>Beitragsrechner!F45</f>
        <v>0</v>
      </c>
      <c r="H23" s="114"/>
      <c r="I23" s="212">
        <f>Beitragsrechner!F54</f>
        <v>0</v>
      </c>
      <c r="J23" s="114"/>
      <c r="K23" s="212">
        <f>Beitragsrechner!F63</f>
        <v>0</v>
      </c>
      <c r="L23" s="114"/>
      <c r="M23" s="25"/>
    </row>
    <row r="24" spans="1:13" x14ac:dyDescent="0.2">
      <c r="A24" s="18" t="s">
        <v>45</v>
      </c>
      <c r="B24" s="204" t="s">
        <v>46</v>
      </c>
      <c r="C24" s="116">
        <f>1/50*Beitragsrechner!J27</f>
        <v>0</v>
      </c>
      <c r="D24" s="118"/>
      <c r="E24" s="213">
        <f>1/50*Beitragsrechner!J36</f>
        <v>0</v>
      </c>
      <c r="F24" s="118"/>
      <c r="G24" s="213">
        <f>1/50*Beitragsrechner!J45</f>
        <v>0.1</v>
      </c>
      <c r="H24" s="118"/>
      <c r="I24" s="213">
        <f>1/50*Beitragsrechner!J54</f>
        <v>0</v>
      </c>
      <c r="J24" s="118"/>
      <c r="K24" s="213">
        <f>1/50*Beitragsrechner!J63</f>
        <v>0</v>
      </c>
      <c r="L24" s="118"/>
      <c r="M24" s="25" t="s">
        <v>86</v>
      </c>
    </row>
    <row r="25" spans="1:13" x14ac:dyDescent="0.2">
      <c r="A25" s="18" t="s">
        <v>48</v>
      </c>
      <c r="B25" s="204" t="s">
        <v>24</v>
      </c>
      <c r="C25" s="112">
        <f>'Berechnung Einkommen'!E27</f>
        <v>0</v>
      </c>
      <c r="D25" s="114"/>
      <c r="E25" s="212">
        <f>'Berechnung Einkommen'!E27</f>
        <v>0</v>
      </c>
      <c r="F25" s="114"/>
      <c r="G25" s="212">
        <f>'Berechnung Einkommen'!E27</f>
        <v>0</v>
      </c>
      <c r="H25" s="114"/>
      <c r="I25" s="212">
        <f>'Berechnung Einkommen'!E27</f>
        <v>0</v>
      </c>
      <c r="J25" s="114"/>
      <c r="K25" s="212">
        <f>'Berechnung Einkommen'!E27</f>
        <v>0</v>
      </c>
      <c r="L25" s="114"/>
      <c r="M25" s="25"/>
    </row>
    <row r="26" spans="1:13" x14ac:dyDescent="0.2">
      <c r="A26" s="18" t="s">
        <v>49</v>
      </c>
      <c r="B26" s="204" t="s">
        <v>50</v>
      </c>
      <c r="C26" s="112" t="e">
        <f>Beitragsrechner!J18-1</f>
        <v>#VALUE!</v>
      </c>
      <c r="D26" s="114"/>
      <c r="E26" s="212" t="e">
        <f>Beitragsrechner!J18-1</f>
        <v>#VALUE!</v>
      </c>
      <c r="F26" s="114"/>
      <c r="G26" s="212" t="e">
        <f>Beitragsrechner!J18-1</f>
        <v>#VALUE!</v>
      </c>
      <c r="H26" s="114"/>
      <c r="I26" s="212" t="e">
        <f>Beitragsrechner!J18-1</f>
        <v>#VALUE!</v>
      </c>
      <c r="J26" s="114"/>
      <c r="K26" s="212" t="e">
        <f>Beitragsrechner!J18-1</f>
        <v>#VALUE!</v>
      </c>
      <c r="L26" s="114"/>
      <c r="M26" s="25" t="s">
        <v>51</v>
      </c>
    </row>
    <row r="27" spans="1:13" x14ac:dyDescent="0.2">
      <c r="A27" s="14"/>
      <c r="B27" s="204"/>
      <c r="C27" s="13"/>
      <c r="D27" s="186"/>
      <c r="E27" s="56"/>
      <c r="F27" s="186"/>
      <c r="G27" s="56"/>
      <c r="H27" s="186"/>
      <c r="I27" s="56"/>
      <c r="J27" s="186"/>
      <c r="K27" s="56"/>
      <c r="L27" s="186"/>
      <c r="M27" s="25"/>
    </row>
    <row r="28" spans="1:13" x14ac:dyDescent="0.2">
      <c r="A28" s="15" t="s">
        <v>52</v>
      </c>
      <c r="B28" s="205"/>
      <c r="C28" s="17"/>
      <c r="D28" s="185"/>
      <c r="E28" s="211"/>
      <c r="F28" s="185"/>
      <c r="G28" s="211"/>
      <c r="H28" s="185"/>
      <c r="I28" s="211"/>
      <c r="J28" s="185"/>
      <c r="K28" s="211"/>
      <c r="L28" s="185"/>
      <c r="M28" s="25"/>
    </row>
    <row r="29" spans="1:13" x14ac:dyDescent="0.2">
      <c r="A29" s="14" t="s">
        <v>172</v>
      </c>
      <c r="B29" s="204" t="s">
        <v>88</v>
      </c>
      <c r="C29" s="13">
        <f>Beitragsrechner!J27</f>
        <v>0</v>
      </c>
      <c r="D29" s="186"/>
      <c r="E29" s="56">
        <f>Beitragsrechner!J36</f>
        <v>0</v>
      </c>
      <c r="F29" s="186"/>
      <c r="G29" s="56">
        <f>Beitragsrechner!J45</f>
        <v>5</v>
      </c>
      <c r="H29" s="186"/>
      <c r="I29" s="56">
        <f>Beitragsrechner!J54</f>
        <v>0</v>
      </c>
      <c r="J29" s="186"/>
      <c r="K29" s="56">
        <f>Beitragsrechner!J63</f>
        <v>0</v>
      </c>
      <c r="L29" s="186"/>
      <c r="M29" s="25"/>
    </row>
    <row r="30" spans="1:13" x14ac:dyDescent="0.2">
      <c r="A30" s="14" t="s">
        <v>87</v>
      </c>
      <c r="B30" s="204" t="s">
        <v>88</v>
      </c>
      <c r="C30" s="13">
        <f>C29*4.1</f>
        <v>0</v>
      </c>
      <c r="D30" s="186"/>
      <c r="E30" s="56">
        <f>E29*4.1</f>
        <v>0</v>
      </c>
      <c r="F30" s="186"/>
      <c r="G30" s="56">
        <f>G29*4.1</f>
        <v>20.5</v>
      </c>
      <c r="H30" s="186"/>
      <c r="I30" s="56">
        <f>I29*4.1</f>
        <v>0</v>
      </c>
      <c r="J30" s="186"/>
      <c r="K30" s="56">
        <f>K29*4.1</f>
        <v>0</v>
      </c>
      <c r="L30" s="186"/>
      <c r="M30" s="25"/>
    </row>
    <row r="31" spans="1:13" x14ac:dyDescent="0.2">
      <c r="A31" s="14" t="s">
        <v>53</v>
      </c>
      <c r="B31" s="204" t="s">
        <v>54</v>
      </c>
      <c r="C31" s="13">
        <f>Beitragsrechner!J28</f>
        <v>0</v>
      </c>
      <c r="D31" s="186"/>
      <c r="E31" s="56">
        <f>Beitragsrechner!J37</f>
        <v>0</v>
      </c>
      <c r="G31" s="56">
        <f>Beitragsrechner!J46</f>
        <v>10</v>
      </c>
      <c r="I31" s="56">
        <f>Beitragsrechner!J55</f>
        <v>0</v>
      </c>
      <c r="K31" s="56">
        <f>Beitragsrechner!J64</f>
        <v>0</v>
      </c>
      <c r="M31" s="25" t="s">
        <v>55</v>
      </c>
    </row>
    <row r="32" spans="1:13" x14ac:dyDescent="0.2">
      <c r="A32" s="14" t="s">
        <v>56</v>
      </c>
      <c r="B32" s="204" t="s">
        <v>54</v>
      </c>
      <c r="C32" s="13">
        <f>4.1*C31</f>
        <v>0</v>
      </c>
      <c r="D32" s="186"/>
      <c r="E32" s="56">
        <f>4.1*E31</f>
        <v>0</v>
      </c>
      <c r="G32" s="56">
        <f>4.1*G31</f>
        <v>41</v>
      </c>
      <c r="I32" s="56">
        <f>4.1*I31</f>
        <v>0</v>
      </c>
      <c r="K32" s="56">
        <f>4.1*K31</f>
        <v>0</v>
      </c>
      <c r="M32" s="25" t="s">
        <v>57</v>
      </c>
    </row>
    <row r="33" spans="1:13" x14ac:dyDescent="0.2">
      <c r="A33" s="14"/>
      <c r="B33" s="204"/>
      <c r="C33" s="13"/>
      <c r="D33" s="186"/>
      <c r="E33" s="56"/>
      <c r="F33" s="186"/>
      <c r="G33" s="56"/>
      <c r="H33" s="186"/>
      <c r="I33" s="56"/>
      <c r="J33" s="186"/>
      <c r="K33" s="56"/>
      <c r="L33" s="186"/>
      <c r="M33" s="25"/>
    </row>
    <row r="34" spans="1:13" x14ac:dyDescent="0.2">
      <c r="A34" s="15" t="s">
        <v>58</v>
      </c>
      <c r="B34" s="205"/>
      <c r="C34" s="17"/>
      <c r="D34" s="185"/>
      <c r="E34" s="211"/>
      <c r="F34" s="185"/>
      <c r="G34" s="211"/>
      <c r="H34" s="185"/>
      <c r="I34" s="211"/>
      <c r="J34" s="185"/>
      <c r="K34" s="211"/>
      <c r="L34" s="185"/>
      <c r="M34" s="25"/>
    </row>
    <row r="35" spans="1:13" x14ac:dyDescent="0.2">
      <c r="A35" s="14" t="s">
        <v>59</v>
      </c>
      <c r="B35" s="204" t="s">
        <v>46</v>
      </c>
      <c r="C35" s="99" t="e">
        <f>C26*10%</f>
        <v>#VALUE!</v>
      </c>
      <c r="D35" s="209"/>
      <c r="E35" s="214" t="e">
        <f>E26*10%</f>
        <v>#VALUE!</v>
      </c>
      <c r="F35" s="44"/>
      <c r="G35" s="214" t="e">
        <f>G26*10%</f>
        <v>#VALUE!</v>
      </c>
      <c r="H35" s="44"/>
      <c r="I35" s="214" t="e">
        <f>I26*10%</f>
        <v>#VALUE!</v>
      </c>
      <c r="J35" s="209"/>
      <c r="K35" s="214" t="e">
        <f>K26*10%</f>
        <v>#VALUE!</v>
      </c>
      <c r="L35" s="44"/>
      <c r="M35" s="25"/>
    </row>
    <row r="36" spans="1:13" x14ac:dyDescent="0.2">
      <c r="A36" s="14"/>
      <c r="B36" s="204"/>
      <c r="C36" s="13"/>
      <c r="D36" s="186"/>
      <c r="E36" s="56"/>
      <c r="F36" s="186"/>
      <c r="G36" s="56"/>
      <c r="H36" s="186"/>
      <c r="I36" s="56"/>
      <c r="J36" s="186"/>
      <c r="K36" s="56"/>
      <c r="L36" s="186"/>
      <c r="M36" s="25"/>
    </row>
    <row r="37" spans="1:13" x14ac:dyDescent="0.2">
      <c r="A37" s="15" t="s">
        <v>60</v>
      </c>
      <c r="B37" s="205"/>
      <c r="C37" s="17"/>
      <c r="D37" s="185"/>
      <c r="E37" s="211"/>
      <c r="F37" s="185"/>
      <c r="G37" s="211"/>
      <c r="H37" s="185"/>
      <c r="I37" s="211"/>
      <c r="J37" s="185"/>
      <c r="K37" s="211"/>
      <c r="L37" s="38"/>
      <c r="M37" s="25"/>
    </row>
    <row r="38" spans="1:13" x14ac:dyDescent="0.2">
      <c r="A38" s="14" t="s">
        <v>173</v>
      </c>
      <c r="B38" s="204" t="s">
        <v>24</v>
      </c>
      <c r="C38" s="13">
        <f>IF(C20,$C$9,IF(C21,IF(C22,$C$11,$C$12),$C$10))</f>
        <v>120</v>
      </c>
      <c r="D38" s="186"/>
      <c r="E38" s="56">
        <f>IF(E20,$C$9,IF(E21,IF(E22,$C$11,$C$12),$C$10))</f>
        <v>120</v>
      </c>
      <c r="F38" s="186"/>
      <c r="G38" s="56">
        <f>IF(G20,$C$9,IF(G21,IF(G22,$C$11,$C$12),$C$10))</f>
        <v>120</v>
      </c>
      <c r="H38" s="186"/>
      <c r="I38" s="56">
        <f>IF(I20,$C$9,IF(I21,IF(I22,$C$11,$C$12),$C$10))</f>
        <v>120</v>
      </c>
      <c r="J38" s="186"/>
      <c r="K38" s="56">
        <f>IF(K20,$C$9,IF(K21,IF(K22,$C$11,$C$12),$C$10))</f>
        <v>120</v>
      </c>
      <c r="L38" s="186"/>
      <c r="M38" s="25" t="s">
        <v>62</v>
      </c>
    </row>
    <row r="39" spans="1:13" x14ac:dyDescent="0.2">
      <c r="A39" s="14" t="s">
        <v>174</v>
      </c>
      <c r="B39" s="204" t="s">
        <v>24</v>
      </c>
      <c r="C39" s="13">
        <f>C38/10</f>
        <v>12</v>
      </c>
      <c r="D39" s="186"/>
      <c r="E39" s="56">
        <f>E38/10</f>
        <v>12</v>
      </c>
      <c r="F39" s="186"/>
      <c r="G39" s="56">
        <f>G38/10</f>
        <v>12</v>
      </c>
      <c r="H39" s="186"/>
      <c r="I39" s="56">
        <f>I38/10</f>
        <v>12</v>
      </c>
      <c r="J39" s="186"/>
      <c r="K39" s="56">
        <f>K38/10</f>
        <v>12</v>
      </c>
      <c r="L39" s="186"/>
      <c r="M39" s="25" t="s">
        <v>183</v>
      </c>
    </row>
    <row r="40" spans="1:13" x14ac:dyDescent="0.2">
      <c r="A40" s="14" t="s">
        <v>81</v>
      </c>
      <c r="B40" s="204" t="s">
        <v>24</v>
      </c>
      <c r="C40" s="195">
        <f>C23</f>
        <v>0</v>
      </c>
      <c r="D40" s="186"/>
      <c r="E40" s="56">
        <f>E23</f>
        <v>0</v>
      </c>
      <c r="F40" s="186"/>
      <c r="G40" s="56">
        <f>G23</f>
        <v>0</v>
      </c>
      <c r="H40" s="186"/>
      <c r="I40" s="56">
        <f>I23</f>
        <v>0</v>
      </c>
      <c r="J40" s="186"/>
      <c r="K40" s="56">
        <f>K23</f>
        <v>0</v>
      </c>
      <c r="L40" s="186"/>
      <c r="M40" s="25"/>
    </row>
    <row r="41" spans="1:13" x14ac:dyDescent="0.2">
      <c r="A41" s="14" t="s">
        <v>175</v>
      </c>
      <c r="B41" s="204" t="s">
        <v>24</v>
      </c>
      <c r="C41" s="100" t="e">
        <f>C32/C30*4</f>
        <v>#DIV/0!</v>
      </c>
      <c r="D41" s="186"/>
      <c r="E41" s="228" t="e">
        <f>E32/E30*4</f>
        <v>#DIV/0!</v>
      </c>
      <c r="F41" s="187"/>
      <c r="G41" s="228">
        <f>G32/G30*4</f>
        <v>8</v>
      </c>
      <c r="H41" s="187"/>
      <c r="I41" s="228" t="e">
        <f>I32/I30*4</f>
        <v>#DIV/0!</v>
      </c>
      <c r="J41" s="187"/>
      <c r="K41" s="228" t="e">
        <f>K32/K30*4</f>
        <v>#DIV/0!</v>
      </c>
      <c r="L41" s="186"/>
      <c r="M41" s="25" t="s">
        <v>184</v>
      </c>
    </row>
    <row r="42" spans="1:13" x14ac:dyDescent="0.2">
      <c r="A42" s="14" t="s">
        <v>177</v>
      </c>
      <c r="B42" s="204" t="s">
        <v>24</v>
      </c>
      <c r="C42" s="100" t="e">
        <f>C40+C41</f>
        <v>#DIV/0!</v>
      </c>
      <c r="D42" s="186"/>
      <c r="E42" s="228" t="e">
        <f>E40+E41</f>
        <v>#DIV/0!</v>
      </c>
      <c r="F42" s="187"/>
      <c r="G42" s="228">
        <f>G40+G41</f>
        <v>8</v>
      </c>
      <c r="H42" s="187"/>
      <c r="I42" s="228" t="e">
        <f>I40+I41</f>
        <v>#DIV/0!</v>
      </c>
      <c r="J42" s="187"/>
      <c r="K42" s="228" t="e">
        <f>K40+K41</f>
        <v>#DIV/0!</v>
      </c>
      <c r="L42" s="186"/>
      <c r="M42" s="25"/>
    </row>
    <row r="43" spans="1:13" x14ac:dyDescent="0.2">
      <c r="A43" s="14" t="s">
        <v>178</v>
      </c>
      <c r="B43" s="204" t="s">
        <v>24</v>
      </c>
      <c r="C43" s="100" t="e">
        <f>C39+C41</f>
        <v>#DIV/0!</v>
      </c>
      <c r="D43" s="186"/>
      <c r="E43" s="228" t="e">
        <f>E39+E41</f>
        <v>#DIV/0!</v>
      </c>
      <c r="F43" s="187"/>
      <c r="G43" s="228">
        <f>G39+G41</f>
        <v>20</v>
      </c>
      <c r="H43" s="187"/>
      <c r="I43" s="228" t="e">
        <f>I39+I41</f>
        <v>#DIV/0!</v>
      </c>
      <c r="J43" s="187"/>
      <c r="K43" s="228" t="e">
        <f>K39+K41</f>
        <v>#DIV/0!</v>
      </c>
      <c r="L43" s="186"/>
      <c r="M43" s="25"/>
    </row>
    <row r="44" spans="1:13" x14ac:dyDescent="0.2">
      <c r="A44" s="14" t="s">
        <v>179</v>
      </c>
      <c r="B44" s="204" t="s">
        <v>24</v>
      </c>
      <c r="C44" s="100" t="e">
        <f>C42-C43</f>
        <v>#DIV/0!</v>
      </c>
      <c r="D44" s="186"/>
      <c r="E44" s="228" t="e">
        <f>E42-E43</f>
        <v>#DIV/0!</v>
      </c>
      <c r="F44" s="187"/>
      <c r="G44" s="228">
        <f>G42-G43</f>
        <v>-12</v>
      </c>
      <c r="H44" s="187"/>
      <c r="I44" s="228" t="e">
        <f>I42-I43</f>
        <v>#DIV/0!</v>
      </c>
      <c r="J44" s="187"/>
      <c r="K44" s="228" t="e">
        <f>K42-K43</f>
        <v>#DIV/0!</v>
      </c>
      <c r="L44" s="186"/>
      <c r="M44" s="25"/>
    </row>
    <row r="45" spans="1:13" x14ac:dyDescent="0.2">
      <c r="A45" s="14"/>
      <c r="B45" s="204"/>
      <c r="C45" s="13"/>
      <c r="D45" s="186"/>
      <c r="E45" s="56"/>
      <c r="F45" s="186"/>
      <c r="G45" s="56"/>
      <c r="H45" s="186"/>
      <c r="I45" s="56"/>
      <c r="J45" s="186"/>
      <c r="K45" s="56"/>
      <c r="L45" s="186"/>
      <c r="M45" s="25"/>
    </row>
    <row r="46" spans="1:13" x14ac:dyDescent="0.2">
      <c r="A46" s="15" t="s">
        <v>135</v>
      </c>
      <c r="B46" s="205"/>
      <c r="C46" s="17"/>
      <c r="D46" s="185"/>
      <c r="E46" s="211"/>
      <c r="F46" s="185"/>
      <c r="G46" s="211"/>
      <c r="H46" s="185"/>
      <c r="I46" s="211"/>
      <c r="J46" s="185"/>
      <c r="K46" s="211"/>
      <c r="L46" s="185"/>
      <c r="M46" s="25"/>
    </row>
    <row r="47" spans="1:13" x14ac:dyDescent="0.2">
      <c r="A47" s="14" t="s">
        <v>134</v>
      </c>
      <c r="B47" s="204" t="s">
        <v>46</v>
      </c>
      <c r="C47" s="198" t="e">
        <f>$E$14/(C39+C41)*(1-C35)</f>
        <v>#DIV/0!</v>
      </c>
      <c r="D47" s="190"/>
      <c r="E47" s="215" t="e">
        <f>$E$14/(E39+E41)*(1-E35)</f>
        <v>#DIV/0!</v>
      </c>
      <c r="F47" s="190"/>
      <c r="G47" s="215" t="e">
        <f>$E$14/(G39+G41)*(1-G35)</f>
        <v>#VALUE!</v>
      </c>
      <c r="H47" s="190"/>
      <c r="I47" s="215" t="e">
        <f>$E$14/(I39+I41)*(1-I35)</f>
        <v>#DIV/0!</v>
      </c>
      <c r="J47" s="190"/>
      <c r="K47" s="215" t="e">
        <f>$E$14/(K39+K41)*(1-K35)</f>
        <v>#DIV/0!</v>
      </c>
      <c r="L47" s="45"/>
      <c r="M47" s="26" t="s">
        <v>65</v>
      </c>
    </row>
    <row r="48" spans="1:13" x14ac:dyDescent="0.2">
      <c r="A48" s="14" t="s">
        <v>66</v>
      </c>
      <c r="B48" s="204" t="s">
        <v>46</v>
      </c>
      <c r="C48" s="199" t="e">
        <f>(1-C47)/($C$6-$C$5)</f>
        <v>#DIV/0!</v>
      </c>
      <c r="D48" s="191"/>
      <c r="E48" s="216" t="e">
        <f>(1-E47)/($C$6-$C$5)</f>
        <v>#DIV/0!</v>
      </c>
      <c r="F48" s="191"/>
      <c r="G48" s="216" t="e">
        <f>(1-G47)/($C$6-$C$5)</f>
        <v>#VALUE!</v>
      </c>
      <c r="H48" s="191"/>
      <c r="I48" s="216" t="e">
        <f>(1-I47)/($C$6-$C$5)</f>
        <v>#DIV/0!</v>
      </c>
      <c r="J48" s="191"/>
      <c r="K48" s="216" t="e">
        <f>(1-K47)/($C$6-$C$5)</f>
        <v>#DIV/0!</v>
      </c>
      <c r="L48" s="4"/>
      <c r="M48" s="27" t="s">
        <v>67</v>
      </c>
    </row>
    <row r="49" spans="1:13" x14ac:dyDescent="0.2">
      <c r="A49" s="14"/>
      <c r="B49" s="204"/>
      <c r="C49" s="199"/>
      <c r="D49" s="4"/>
      <c r="E49" s="217"/>
      <c r="F49" s="4"/>
      <c r="G49" s="217"/>
      <c r="H49" s="4"/>
      <c r="I49" s="217"/>
      <c r="J49" s="4"/>
      <c r="K49" s="217"/>
      <c r="L49" s="4"/>
      <c r="M49" s="29"/>
    </row>
    <row r="50" spans="1:13" x14ac:dyDescent="0.2">
      <c r="A50" s="15" t="s">
        <v>68</v>
      </c>
      <c r="B50" s="205"/>
      <c r="C50" s="17"/>
      <c r="D50" s="185"/>
      <c r="E50" s="211"/>
      <c r="F50" s="185"/>
      <c r="G50" s="211"/>
      <c r="H50" s="185"/>
      <c r="I50" s="211"/>
      <c r="J50" s="185"/>
      <c r="K50" s="211"/>
      <c r="L50" s="185"/>
      <c r="M50" s="25"/>
    </row>
    <row r="51" spans="1:13" x14ac:dyDescent="0.2">
      <c r="A51" s="14" t="s">
        <v>69</v>
      </c>
      <c r="B51" s="204" t="s">
        <v>46</v>
      </c>
      <c r="C51" s="200" t="e">
        <f>IF(MIN(C47+C48*(C25-$C$5),1)&lt;0,0,MIN(C47+C48*(C25-$C$5),1))</f>
        <v>#DIV/0!</v>
      </c>
      <c r="D51" s="192"/>
      <c r="E51" s="218" t="e">
        <f>IF(MIN(E47+E48*(E25-$C$5),1)&lt;0,0,MIN(E47+E48*(E25-$C$5),1))</f>
        <v>#DIV/0!</v>
      </c>
      <c r="F51" s="192"/>
      <c r="G51" s="218" t="e">
        <f>IF(MIN(G47+G48*(G25-$C$5),1)&lt;0,0,MIN(G47+G48*(G25-$C$5),1))</f>
        <v>#VALUE!</v>
      </c>
      <c r="H51" s="192"/>
      <c r="I51" s="218" t="e">
        <f>IF(MIN(I47+I48*(I25-$C$5),1)&lt;0,0,MIN(I47+I48*(I25-$C$5),1))</f>
        <v>#DIV/0!</v>
      </c>
      <c r="J51" s="192"/>
      <c r="K51" s="218" t="e">
        <f>IF(MIN(K47+K48*(K25-$C$5),1)&lt;0,0,MIN(K47+K48*(K25-$C$5),1))</f>
        <v>#DIV/0!</v>
      </c>
      <c r="L51" s="45"/>
      <c r="M51" s="30" t="s">
        <v>70</v>
      </c>
    </row>
    <row r="52" spans="1:13" x14ac:dyDescent="0.2">
      <c r="A52" s="14" t="s">
        <v>176</v>
      </c>
      <c r="B52" s="204" t="s">
        <v>24</v>
      </c>
      <c r="C52" s="201" t="e">
        <f>MIN(C42:C43)*C51</f>
        <v>#DIV/0!</v>
      </c>
      <c r="D52" s="133"/>
      <c r="E52" s="219" t="e">
        <f>MIN(E42:E43)*E51</f>
        <v>#DIV/0!</v>
      </c>
      <c r="F52" s="133"/>
      <c r="G52" s="219" t="e">
        <f>MIN(G42:G43)*G51</f>
        <v>#VALUE!</v>
      </c>
      <c r="H52" s="133"/>
      <c r="I52" s="219" t="e">
        <f>MIN(I42:I43)*I51</f>
        <v>#DIV/0!</v>
      </c>
      <c r="J52" s="133"/>
      <c r="K52" s="219" t="e">
        <f>MIN(K42:K43)*K51</f>
        <v>#DIV/0!</v>
      </c>
      <c r="L52" s="22"/>
      <c r="M52" s="29" t="s">
        <v>72</v>
      </c>
    </row>
    <row r="53" spans="1:13" x14ac:dyDescent="0.2">
      <c r="A53" s="14"/>
      <c r="B53" s="204"/>
      <c r="C53" s="199"/>
      <c r="D53" s="4"/>
      <c r="E53" s="217"/>
      <c r="F53" s="4"/>
      <c r="G53" s="217"/>
      <c r="H53" s="4"/>
      <c r="I53" s="217"/>
      <c r="K53" s="56"/>
      <c r="M53" s="27"/>
    </row>
    <row r="54" spans="1:13" x14ac:dyDescent="0.2">
      <c r="A54" s="15" t="s">
        <v>73</v>
      </c>
      <c r="B54" s="205"/>
      <c r="C54" s="17"/>
      <c r="D54" s="185"/>
      <c r="E54" s="211"/>
      <c r="F54" s="185"/>
      <c r="G54" s="211"/>
      <c r="H54" s="185"/>
      <c r="I54" s="211"/>
      <c r="J54" s="38"/>
      <c r="K54" s="211"/>
      <c r="L54" s="38"/>
      <c r="M54" s="25"/>
    </row>
    <row r="55" spans="1:13" x14ac:dyDescent="0.2">
      <c r="A55" s="189" t="s">
        <v>180</v>
      </c>
      <c r="B55" s="204" t="s">
        <v>24</v>
      </c>
      <c r="C55" s="103">
        <f>IF(Beitragsrechner!F22="Tagesfamilie",MIN(C42:C43)*(1-C51),0)</f>
        <v>0</v>
      </c>
      <c r="D55" s="193"/>
      <c r="E55" s="220">
        <f>IF(Beitragsrechner!F31="Tagesfamilie",MIN(E42:E43)*(1-E51),0)</f>
        <v>0</v>
      </c>
      <c r="F55" s="193"/>
      <c r="G55" s="220">
        <f>IF(Beitragsrechner!F40="Tagesfamilie",MIN(G42:G43)*(1-G51),0)</f>
        <v>0</v>
      </c>
      <c r="H55" s="193"/>
      <c r="I55" s="220">
        <f>IF(Beitragsrechner!F49="Tagesfamilie",MIN(I42:I43)*(1-I51),0)</f>
        <v>0</v>
      </c>
      <c r="J55" s="193"/>
      <c r="K55" s="220">
        <f>IF(Beitragsrechner!F49="Tagesfamilie",MIN(K42:K43)*(1-K51),0)</f>
        <v>0</v>
      </c>
      <c r="L55" s="46"/>
      <c r="M55" s="28"/>
    </row>
    <row r="56" spans="1:13" x14ac:dyDescent="0.2">
      <c r="A56" t="s">
        <v>182</v>
      </c>
      <c r="B56" s="204" t="s">
        <v>24</v>
      </c>
      <c r="C56" s="201" t="e">
        <f>MAX($E$14-C52,0)</f>
        <v>#DIV/0!</v>
      </c>
      <c r="D56" s="133"/>
      <c r="E56" s="219" t="e">
        <f>MAX($E$14-E52,0)</f>
        <v>#DIV/0!</v>
      </c>
      <c r="F56" s="133"/>
      <c r="G56" s="219" t="e">
        <f>MAX($E$14-G52,0)</f>
        <v>#VALUE!</v>
      </c>
      <c r="H56" s="133"/>
      <c r="I56" s="219" t="e">
        <f>MAX($E$14-I52,0)</f>
        <v>#DIV/0!</v>
      </c>
      <c r="J56" s="133"/>
      <c r="K56" s="219" t="e">
        <f>MAX($E$14-K52,0)</f>
        <v>#DIV/0!</v>
      </c>
      <c r="L56" s="132"/>
      <c r="M56" s="56"/>
    </row>
    <row r="57" spans="1:13" x14ac:dyDescent="0.2">
      <c r="A57" s="54" t="s">
        <v>90</v>
      </c>
      <c r="B57" s="206" t="s">
        <v>24</v>
      </c>
      <c r="C57" s="202" t="e">
        <f>MAX(C55-C56,0)</f>
        <v>#DIV/0!</v>
      </c>
      <c r="D57" s="194"/>
      <c r="E57" s="221" t="e">
        <f>MAX(E55-E56,0)</f>
        <v>#DIV/0!</v>
      </c>
      <c r="F57" s="194"/>
      <c r="G57" s="221" t="e">
        <f>MAX(G55-G56,0)</f>
        <v>#VALUE!</v>
      </c>
      <c r="H57" s="194"/>
      <c r="I57" s="221" t="e">
        <f>MAX(I55-I56,0)</f>
        <v>#DIV/0!</v>
      </c>
      <c r="J57" s="194"/>
      <c r="K57" s="221" t="e">
        <f>MAX(K55-K56,0)</f>
        <v>#DIV/0!</v>
      </c>
      <c r="L57" s="46"/>
      <c r="M57" s="56" t="s">
        <v>78</v>
      </c>
    </row>
    <row r="58" spans="1:13" x14ac:dyDescent="0.2">
      <c r="A58" t="s">
        <v>181</v>
      </c>
      <c r="B58" s="204" t="s">
        <v>24</v>
      </c>
      <c r="C58" s="201">
        <f>IF(C31&gt;0,C57*C29/C31,0)</f>
        <v>0</v>
      </c>
      <c r="D58" s="133"/>
      <c r="E58" s="219">
        <f>IF(E31&gt;0,E57*E29/E31,0)</f>
        <v>0</v>
      </c>
      <c r="F58" s="133"/>
      <c r="G58" s="219" t="e">
        <f>IF(G31&gt;0,G57*G29/G31,0)</f>
        <v>#VALUE!</v>
      </c>
      <c r="H58" s="133"/>
      <c r="I58" s="219">
        <f>IF(I31&gt;0,I57*I29/I31,0)</f>
        <v>0</v>
      </c>
      <c r="J58" s="133"/>
      <c r="K58" s="219">
        <f>IF(K31&gt;0,K57*K29/K31,0)</f>
        <v>0</v>
      </c>
      <c r="L58" s="187"/>
      <c r="M58" s="56" t="s">
        <v>91</v>
      </c>
    </row>
    <row r="59" spans="1:13" x14ac:dyDescent="0.2">
      <c r="A59" t="s">
        <v>79</v>
      </c>
      <c r="B59" s="204" t="s">
        <v>24</v>
      </c>
      <c r="C59" s="201">
        <f>C58*C32</f>
        <v>0</v>
      </c>
      <c r="D59" s="133"/>
      <c r="E59" s="219">
        <f>E58*E32</f>
        <v>0</v>
      </c>
      <c r="F59" s="133"/>
      <c r="G59" s="219" t="e">
        <f>G58*G32</f>
        <v>#VALUE!</v>
      </c>
      <c r="H59" s="133"/>
      <c r="I59" s="219">
        <f>I58*I32</f>
        <v>0</v>
      </c>
      <c r="J59" s="133"/>
      <c r="K59" s="219">
        <f>K58*K32</f>
        <v>0</v>
      </c>
      <c r="L59" s="220"/>
      <c r="M59" s="29" t="s">
        <v>80</v>
      </c>
    </row>
    <row r="60" spans="1:13" x14ac:dyDescent="0.2">
      <c r="A60" t="s">
        <v>140</v>
      </c>
      <c r="B60" s="207" t="s">
        <v>24</v>
      </c>
      <c r="C60" s="196">
        <f>IF(Beitragsrechner!F22="Tagesfamilie",C42*C30-C59,0)</f>
        <v>0</v>
      </c>
      <c r="D60" s="223"/>
      <c r="E60" s="222">
        <f>IF(Beitragsrechner!F31="Tagesfamilie",E42*E30-E59,0)</f>
        <v>0</v>
      </c>
      <c r="F60" s="224"/>
      <c r="G60" s="222">
        <f>IF(Beitragsrechner!F40="Tagesfamilie",G42*G30-G59,0)</f>
        <v>0</v>
      </c>
      <c r="H60" s="224"/>
      <c r="I60" s="222">
        <f>IF(Beitragsrechner!F49="Tagesfamilie",I42*I30-I59,0)</f>
        <v>0</v>
      </c>
      <c r="J60" s="224"/>
      <c r="K60" s="222">
        <f>IF(Beitragsrechner!F49="Tagesfamilie",K42*K30-K59,0)</f>
        <v>0</v>
      </c>
      <c r="L60" s="225"/>
      <c r="M60" s="57" t="s">
        <v>185</v>
      </c>
    </row>
    <row r="61" spans="1:13" x14ac:dyDescent="0.2">
      <c r="A61" s="10"/>
      <c r="B61" s="52"/>
      <c r="C61" s="94"/>
      <c r="D61" s="19"/>
      <c r="E61" s="188"/>
      <c r="F61" s="188"/>
      <c r="G61" s="188"/>
      <c r="H61" s="188"/>
      <c r="I61" s="188"/>
      <c r="J61" s="45"/>
      <c r="K61" s="45"/>
      <c r="L61" s="45"/>
      <c r="M61"/>
    </row>
    <row r="62" spans="1:13" x14ac:dyDescent="0.2">
      <c r="B62" s="19"/>
      <c r="C62" s="135"/>
      <c r="D62" s="19"/>
      <c r="E62" s="43"/>
      <c r="F62" s="43"/>
      <c r="G62" s="43"/>
      <c r="H62" s="43"/>
      <c r="I62" s="43"/>
      <c r="J62" s="45"/>
      <c r="K62" s="45"/>
      <c r="L62" s="45"/>
      <c r="M62"/>
    </row>
    <row r="63" spans="1:13" x14ac:dyDescent="0.2">
      <c r="C63" s="136"/>
      <c r="I63" s="43"/>
    </row>
    <row r="64" spans="1:13" x14ac:dyDescent="0.2">
      <c r="C64" s="136"/>
    </row>
    <row r="65" spans="3:3" x14ac:dyDescent="0.2">
      <c r="C65" s="136"/>
    </row>
    <row r="66" spans="3:3" x14ac:dyDescent="0.2">
      <c r="C66" s="136"/>
    </row>
  </sheetData>
  <pageMargins left="0.7" right="0.7" top="0.78740157499999996" bottom="0.78740157499999996" header="0.3" footer="0.3"/>
  <pageSetup paperSize="9" scale="63" orientation="landscape" r:id="rId1"/>
  <ignoredErrors>
    <ignoredError sqref="K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pageSetUpPr fitToPage="1"/>
  </sheetPr>
  <dimension ref="A1:M51"/>
  <sheetViews>
    <sheetView topLeftCell="A4" zoomScale="93" zoomScaleNormal="93" workbookViewId="0">
      <selection activeCell="C11" sqref="C11"/>
    </sheetView>
  </sheetViews>
  <sheetFormatPr baseColWidth="10" defaultColWidth="11.42578125" defaultRowHeight="12.75" x14ac:dyDescent="0.2"/>
  <cols>
    <col min="1" max="1" width="60.5703125" customWidth="1"/>
    <col min="2" max="2" width="7.5703125" customWidth="1"/>
    <col min="3" max="3" width="19.42578125" bestFit="1" customWidth="1"/>
    <col min="4" max="4" width="2.5703125" customWidth="1"/>
    <col min="5" max="5" width="20.42578125" bestFit="1" customWidth="1"/>
    <col min="6" max="6" width="2.5703125" customWidth="1"/>
    <col min="7" max="7" width="18" customWidth="1"/>
    <col min="8" max="8" width="2.42578125" customWidth="1"/>
    <col min="9" max="9" width="20.28515625" customWidth="1"/>
    <col min="10" max="10" width="2.42578125" customWidth="1"/>
    <col min="11" max="11" width="20.28515625" customWidth="1"/>
    <col min="12" max="12" width="2.42578125" customWidth="1"/>
    <col min="13" max="13" width="76.28515625" style="5" customWidth="1"/>
  </cols>
  <sheetData>
    <row r="1" spans="1:13" ht="18" x14ac:dyDescent="0.25">
      <c r="A1" s="8" t="s">
        <v>93</v>
      </c>
      <c r="B1" s="9"/>
      <c r="C1" s="9"/>
      <c r="D1" s="9"/>
      <c r="E1" s="10"/>
      <c r="F1" s="10"/>
      <c r="G1" s="10"/>
      <c r="H1" s="10"/>
      <c r="I1" s="10"/>
      <c r="M1" s="78"/>
    </row>
    <row r="2" spans="1:13" x14ac:dyDescent="0.2">
      <c r="M2" s="77"/>
    </row>
    <row r="3" spans="1:13" x14ac:dyDescent="0.2">
      <c r="A3" s="12" t="s">
        <v>21</v>
      </c>
      <c r="B3" s="23"/>
      <c r="C3" s="23"/>
      <c r="D3" s="23"/>
      <c r="E3" s="95" t="s">
        <v>0</v>
      </c>
      <c r="F3" s="75"/>
      <c r="G3" s="75"/>
      <c r="H3" s="75"/>
      <c r="I3" s="75"/>
      <c r="J3" s="75"/>
      <c r="K3" s="75"/>
      <c r="L3" s="75"/>
      <c r="M3" s="77"/>
    </row>
    <row r="4" spans="1:13" x14ac:dyDescent="0.2">
      <c r="A4" s="16" t="s">
        <v>22</v>
      </c>
      <c r="B4" s="20"/>
      <c r="C4" s="38"/>
      <c r="D4" s="38"/>
      <c r="E4" s="76"/>
      <c r="F4" s="76"/>
      <c r="G4" s="76"/>
      <c r="H4" s="76"/>
      <c r="I4" s="76"/>
      <c r="J4" s="76"/>
      <c r="K4" s="76"/>
      <c r="L4" s="76"/>
      <c r="M4" s="77"/>
    </row>
    <row r="5" spans="1:13" x14ac:dyDescent="0.2">
      <c r="A5" s="21" t="s">
        <v>23</v>
      </c>
      <c r="B5" s="19" t="s">
        <v>24</v>
      </c>
      <c r="C5" s="43">
        <v>47193</v>
      </c>
      <c r="M5" s="77"/>
    </row>
    <row r="6" spans="1:13" x14ac:dyDescent="0.2">
      <c r="A6" s="14" t="s">
        <v>25</v>
      </c>
      <c r="B6" s="19" t="s">
        <v>24</v>
      </c>
      <c r="C6" s="43">
        <v>153215</v>
      </c>
      <c r="M6" s="77"/>
    </row>
    <row r="7" spans="1:13" x14ac:dyDescent="0.2">
      <c r="A7" s="14"/>
      <c r="M7" s="77"/>
    </row>
    <row r="8" spans="1:13" x14ac:dyDescent="0.2">
      <c r="A8" s="16" t="s">
        <v>94</v>
      </c>
      <c r="B8" s="20"/>
      <c r="C8" s="38"/>
      <c r="D8" s="38"/>
      <c r="M8" s="77"/>
    </row>
    <row r="9" spans="1:13" x14ac:dyDescent="0.2">
      <c r="A9" s="14" t="s">
        <v>95</v>
      </c>
      <c r="B9" s="19" t="s">
        <v>24</v>
      </c>
      <c r="C9">
        <v>17</v>
      </c>
      <c r="I9" s="79"/>
      <c r="M9" s="77"/>
    </row>
    <row r="10" spans="1:13" x14ac:dyDescent="0.2">
      <c r="A10" s="14"/>
      <c r="B10" s="19"/>
      <c r="M10" s="77"/>
    </row>
    <row r="11" spans="1:13" x14ac:dyDescent="0.2">
      <c r="A11" s="14" t="s">
        <v>31</v>
      </c>
      <c r="B11" s="19" t="s">
        <v>24</v>
      </c>
      <c r="C11">
        <f>30/4</f>
        <v>7.5</v>
      </c>
      <c r="D11" s="61"/>
      <c r="E11" s="61"/>
      <c r="F11" s="61"/>
      <c r="G11" s="61"/>
      <c r="H11" s="61"/>
      <c r="I11" s="61"/>
      <c r="J11" s="61"/>
      <c r="K11" s="61"/>
      <c r="L11" s="61"/>
      <c r="M11" s="77"/>
    </row>
    <row r="12" spans="1:13" x14ac:dyDescent="0.2">
      <c r="A12" s="14"/>
      <c r="B12" s="19"/>
      <c r="M12" s="77"/>
    </row>
    <row r="13" spans="1:13" ht="8.4499999999999993" customHeight="1" x14ac:dyDescent="0.2">
      <c r="A13" s="14"/>
      <c r="M13" s="77"/>
    </row>
    <row r="14" spans="1:13" x14ac:dyDescent="0.2">
      <c r="A14" s="12" t="s">
        <v>32</v>
      </c>
      <c r="B14" s="23"/>
      <c r="C14" s="23"/>
      <c r="D14" s="23"/>
      <c r="E14" s="23"/>
      <c r="F14" s="23"/>
      <c r="G14" s="23"/>
      <c r="H14" s="23"/>
      <c r="I14" s="23"/>
      <c r="J14" s="24"/>
      <c r="K14" s="24"/>
      <c r="L14" s="24"/>
      <c r="M14" s="25"/>
    </row>
    <row r="15" spans="1:13" x14ac:dyDescent="0.2">
      <c r="A15" s="31"/>
      <c r="B15" s="32"/>
      <c r="C15" s="36" t="s">
        <v>33</v>
      </c>
      <c r="D15" s="33">
        <v>1</v>
      </c>
      <c r="E15" s="36" t="s">
        <v>34</v>
      </c>
      <c r="F15" s="33">
        <v>2</v>
      </c>
      <c r="G15" s="36" t="s">
        <v>34</v>
      </c>
      <c r="H15" s="36">
        <v>3</v>
      </c>
      <c r="I15" s="36" t="s">
        <v>34</v>
      </c>
      <c r="J15" s="34">
        <v>4</v>
      </c>
      <c r="K15" s="34" t="s">
        <v>34</v>
      </c>
      <c r="L15" s="34">
        <v>5</v>
      </c>
      <c r="M15" s="35" t="s">
        <v>35</v>
      </c>
    </row>
    <row r="16" spans="1:13" ht="18" customHeight="1" x14ac:dyDescent="0.2">
      <c r="A16" s="14"/>
      <c r="C16" s="6" t="s">
        <v>36</v>
      </c>
      <c r="D16" s="7"/>
      <c r="E16" s="6" t="s">
        <v>36</v>
      </c>
      <c r="F16" s="7" t="s">
        <v>83</v>
      </c>
      <c r="G16" s="6" t="s">
        <v>36</v>
      </c>
      <c r="H16" s="37" t="s">
        <v>83</v>
      </c>
      <c r="I16" s="6" t="s">
        <v>36</v>
      </c>
      <c r="J16" s="39"/>
      <c r="K16" s="6" t="s">
        <v>36</v>
      </c>
      <c r="L16" s="39"/>
      <c r="M16" s="41"/>
    </row>
    <row r="17" spans="1:13" x14ac:dyDescent="0.2">
      <c r="A17" s="15" t="s">
        <v>32</v>
      </c>
      <c r="B17" s="16" t="s">
        <v>37</v>
      </c>
      <c r="C17" s="2"/>
      <c r="D17" s="3"/>
      <c r="E17" s="2"/>
      <c r="F17" s="3"/>
      <c r="G17" s="38"/>
      <c r="H17" s="38"/>
      <c r="I17" s="2"/>
      <c r="J17" s="17"/>
      <c r="K17" s="17"/>
      <c r="L17" s="17"/>
      <c r="M17" s="25"/>
    </row>
    <row r="18" spans="1:13" x14ac:dyDescent="0.2">
      <c r="A18" s="130" t="s">
        <v>92</v>
      </c>
      <c r="B18" s="19" t="s">
        <v>24</v>
      </c>
      <c r="C18" s="111">
        <f>Beitragsrechner!F28</f>
        <v>0</v>
      </c>
      <c r="D18" s="112"/>
      <c r="E18" s="113">
        <f>Beitragsrechner!F37</f>
        <v>0</v>
      </c>
      <c r="F18" s="114"/>
      <c r="G18" s="113">
        <f>Beitragsrechner!F46</f>
        <v>0</v>
      </c>
      <c r="H18" s="114"/>
      <c r="I18" s="113">
        <f>Beitragsrechner!F55</f>
        <v>0</v>
      </c>
      <c r="J18" s="114"/>
      <c r="K18" s="114">
        <f>Beitragsrechner!F64</f>
        <v>0</v>
      </c>
      <c r="L18" s="114"/>
      <c r="M18" s="77"/>
    </row>
    <row r="19" spans="1:13" x14ac:dyDescent="0.2">
      <c r="A19" s="18" t="s">
        <v>45</v>
      </c>
      <c r="B19" s="19" t="s">
        <v>46</v>
      </c>
      <c r="C19" s="115">
        <f>Beitragsrechner!AC24/5</f>
        <v>0</v>
      </c>
      <c r="D19" s="116"/>
      <c r="E19" s="117">
        <f>Beitragsrechner!AC35/5</f>
        <v>0</v>
      </c>
      <c r="F19" s="118"/>
      <c r="G19" s="117">
        <f>Beitragsrechner!AC44/5</f>
        <v>0</v>
      </c>
      <c r="H19" s="118"/>
      <c r="I19" s="117">
        <f>Beitragsrechner!AC53/5</f>
        <v>0</v>
      </c>
      <c r="J19" s="118"/>
      <c r="K19" s="118">
        <f>Beitragsrechner!AC63/5</f>
        <v>0</v>
      </c>
      <c r="L19" s="118"/>
      <c r="M19" s="25" t="s">
        <v>96</v>
      </c>
    </row>
    <row r="20" spans="1:13" x14ac:dyDescent="0.2">
      <c r="A20" s="18" t="s">
        <v>48</v>
      </c>
      <c r="B20" s="19" t="s">
        <v>24</v>
      </c>
      <c r="C20" s="111">
        <f>'Berechnung Einkommen'!E27</f>
        <v>0</v>
      </c>
      <c r="D20" s="112"/>
      <c r="E20" s="113">
        <f>'Berechnung Einkommen'!E27</f>
        <v>0</v>
      </c>
      <c r="F20" s="114"/>
      <c r="G20" s="113">
        <f>'Berechnung Einkommen'!E27</f>
        <v>0</v>
      </c>
      <c r="H20" s="114"/>
      <c r="I20" s="113">
        <f>'Berechnung Einkommen'!E27</f>
        <v>0</v>
      </c>
      <c r="J20" s="114"/>
      <c r="K20" s="114">
        <f>'Berechnung Einkommen'!E27</f>
        <v>0</v>
      </c>
      <c r="L20" s="114"/>
      <c r="M20" s="25"/>
    </row>
    <row r="21" spans="1:13" x14ac:dyDescent="0.2">
      <c r="A21" s="18" t="s">
        <v>49</v>
      </c>
      <c r="B21" s="19" t="s">
        <v>50</v>
      </c>
      <c r="C21" s="111" t="e">
        <f>Beitragsrechner!J18-1</f>
        <v>#VALUE!</v>
      </c>
      <c r="D21" s="112"/>
      <c r="E21" s="113" t="e">
        <f>Beitragsrechner!J18-1</f>
        <v>#VALUE!</v>
      </c>
      <c r="F21" s="114"/>
      <c r="G21" s="113" t="e">
        <f>Beitragsrechner!J18-1</f>
        <v>#VALUE!</v>
      </c>
      <c r="H21" s="114"/>
      <c r="I21" s="113" t="e">
        <f>Beitragsrechner!J18-1</f>
        <v>#VALUE!</v>
      </c>
      <c r="J21" s="114"/>
      <c r="K21" s="114" t="e">
        <f>Beitragsrechner!J18-1</f>
        <v>#VALUE!</v>
      </c>
      <c r="L21" s="114"/>
      <c r="M21" s="25" t="s">
        <v>51</v>
      </c>
    </row>
    <row r="22" spans="1:13" x14ac:dyDescent="0.2">
      <c r="A22" s="14"/>
      <c r="B22" s="19"/>
      <c r="C22" s="106"/>
      <c r="D22" s="13"/>
      <c r="E22" s="48"/>
      <c r="F22" s="1"/>
      <c r="G22" s="48"/>
      <c r="H22" s="1"/>
      <c r="I22" s="48"/>
      <c r="J22" s="13"/>
      <c r="K22" s="13"/>
      <c r="L22" s="13"/>
      <c r="M22" s="25"/>
    </row>
    <row r="23" spans="1:13" x14ac:dyDescent="0.2">
      <c r="A23" s="15" t="s">
        <v>52</v>
      </c>
      <c r="B23" s="20"/>
      <c r="C23" s="2"/>
      <c r="D23" s="17"/>
      <c r="E23" s="47"/>
      <c r="F23" s="3"/>
      <c r="G23" s="47"/>
      <c r="H23" s="3"/>
      <c r="I23" s="47"/>
      <c r="J23" s="17"/>
      <c r="K23" s="17"/>
      <c r="L23" s="17"/>
      <c r="M23" s="25"/>
    </row>
    <row r="24" spans="1:13" x14ac:dyDescent="0.2">
      <c r="A24" s="14" t="s">
        <v>53</v>
      </c>
      <c r="B24" s="19" t="s">
        <v>54</v>
      </c>
      <c r="C24" s="106">
        <f>C19*5</f>
        <v>0</v>
      </c>
      <c r="D24" s="13"/>
      <c r="E24" s="48">
        <f>E19*5</f>
        <v>0</v>
      </c>
      <c r="G24" s="48">
        <f>G19*5</f>
        <v>0</v>
      </c>
      <c r="I24" s="48">
        <f>I19*5</f>
        <v>0</v>
      </c>
      <c r="J24" s="48"/>
      <c r="K24" s="48">
        <f t="shared" ref="K24" si="0">K19*5</f>
        <v>0</v>
      </c>
      <c r="M24" s="25" t="s">
        <v>55</v>
      </c>
    </row>
    <row r="25" spans="1:13" x14ac:dyDescent="0.2">
      <c r="A25" s="14" t="s">
        <v>56</v>
      </c>
      <c r="B25" s="19" t="s">
        <v>54</v>
      </c>
      <c r="C25" s="106">
        <f>4.1*C24</f>
        <v>0</v>
      </c>
      <c r="D25" s="13"/>
      <c r="E25" s="48">
        <f>4.1*E24</f>
        <v>0</v>
      </c>
      <c r="G25" s="48">
        <f>4.1*G24</f>
        <v>0</v>
      </c>
      <c r="I25" s="48">
        <f>4.1*I24</f>
        <v>0</v>
      </c>
      <c r="J25" s="48"/>
      <c r="K25" s="48">
        <f>4.1*K24</f>
        <v>0</v>
      </c>
      <c r="M25" s="25" t="s">
        <v>57</v>
      </c>
    </row>
    <row r="26" spans="1:13" x14ac:dyDescent="0.2">
      <c r="A26" s="14"/>
      <c r="B26" s="19"/>
      <c r="C26" s="106"/>
      <c r="D26" s="13"/>
      <c r="E26" s="48"/>
      <c r="F26" s="1"/>
      <c r="G26" s="48"/>
      <c r="H26" s="1"/>
      <c r="I26" s="48"/>
      <c r="J26" s="13"/>
      <c r="K26" s="13"/>
      <c r="L26" s="13"/>
      <c r="M26" s="25"/>
    </row>
    <row r="27" spans="1:13" x14ac:dyDescent="0.2">
      <c r="A27" s="15" t="s">
        <v>58</v>
      </c>
      <c r="B27" s="20"/>
      <c r="C27" s="2"/>
      <c r="D27" s="17"/>
      <c r="E27" s="47"/>
      <c r="F27" s="3"/>
      <c r="G27" s="47"/>
      <c r="H27" s="3"/>
      <c r="I27" s="47"/>
      <c r="J27" s="17"/>
      <c r="K27" s="17"/>
      <c r="L27" s="17"/>
      <c r="M27" s="25"/>
    </row>
    <row r="28" spans="1:13" x14ac:dyDescent="0.2">
      <c r="A28" s="14" t="s">
        <v>59</v>
      </c>
      <c r="B28" s="19" t="s">
        <v>46</v>
      </c>
      <c r="C28" s="107" t="e">
        <f>C21*10%</f>
        <v>#VALUE!</v>
      </c>
      <c r="D28" s="99"/>
      <c r="E28" s="49" t="e">
        <f>E21*10%</f>
        <v>#VALUE!</v>
      </c>
      <c r="F28" s="44"/>
      <c r="G28" s="49" t="e">
        <f>G21*10%</f>
        <v>#VALUE!</v>
      </c>
      <c r="H28" s="44"/>
      <c r="I28" s="49" t="e">
        <f>I21*10%</f>
        <v>#VALUE!</v>
      </c>
      <c r="J28" s="49"/>
      <c r="K28" s="49" t="e">
        <f t="shared" ref="K28" si="1">K21*10%</f>
        <v>#VALUE!</v>
      </c>
      <c r="L28" s="44"/>
      <c r="M28" s="25"/>
    </row>
    <row r="29" spans="1:13" x14ac:dyDescent="0.2">
      <c r="A29" s="14"/>
      <c r="B29" s="19"/>
      <c r="C29" s="106"/>
      <c r="D29" s="13"/>
      <c r="E29" s="48"/>
      <c r="F29" s="1"/>
      <c r="G29" s="48"/>
      <c r="H29" s="1"/>
      <c r="I29" s="48"/>
      <c r="J29" s="13"/>
      <c r="K29" s="13"/>
      <c r="L29" s="13"/>
      <c r="M29" s="25"/>
    </row>
    <row r="30" spans="1:13" x14ac:dyDescent="0.2">
      <c r="A30" s="15" t="s">
        <v>60</v>
      </c>
      <c r="B30" s="20"/>
      <c r="C30" s="2"/>
      <c r="D30" s="17"/>
      <c r="E30" s="47"/>
      <c r="F30" s="3"/>
      <c r="G30" s="47"/>
      <c r="H30" s="3"/>
      <c r="I30" s="47"/>
      <c r="J30" s="17"/>
      <c r="K30" s="17"/>
      <c r="L30" s="17"/>
      <c r="M30" s="25"/>
    </row>
    <row r="31" spans="1:13" x14ac:dyDescent="0.2">
      <c r="A31" s="14" t="s">
        <v>61</v>
      </c>
      <c r="B31" s="19" t="s">
        <v>24</v>
      </c>
      <c r="C31" s="106">
        <f>$C$9</f>
        <v>17</v>
      </c>
      <c r="D31" s="13"/>
      <c r="E31" s="106">
        <f>$C$9</f>
        <v>17</v>
      </c>
      <c r="F31" s="13"/>
      <c r="G31" s="106">
        <f t="shared" ref="G31" si="2">$C$9</f>
        <v>17</v>
      </c>
      <c r="H31" s="13"/>
      <c r="I31" s="106">
        <f t="shared" ref="I31:K31" si="3">$C$9</f>
        <v>17</v>
      </c>
      <c r="J31" s="106"/>
      <c r="K31" s="106">
        <f t="shared" si="3"/>
        <v>17</v>
      </c>
      <c r="L31" s="13"/>
      <c r="M31" s="25" t="s">
        <v>62</v>
      </c>
    </row>
    <row r="32" spans="1:13" x14ac:dyDescent="0.2">
      <c r="A32" s="14" t="s">
        <v>1</v>
      </c>
      <c r="B32" s="19" t="s">
        <v>24</v>
      </c>
      <c r="C32" s="131">
        <f>C18</f>
        <v>0</v>
      </c>
      <c r="D32" s="13"/>
      <c r="E32" s="131">
        <f>E18</f>
        <v>0</v>
      </c>
      <c r="F32" s="13"/>
      <c r="G32" s="131">
        <f>G18</f>
        <v>0</v>
      </c>
      <c r="H32" s="13"/>
      <c r="I32" s="131">
        <f>I18</f>
        <v>0</v>
      </c>
      <c r="J32" s="131"/>
      <c r="K32" s="131">
        <f>K18</f>
        <v>0</v>
      </c>
      <c r="L32" s="13"/>
      <c r="M32" s="25" t="s">
        <v>89</v>
      </c>
    </row>
    <row r="33" spans="1:13" x14ac:dyDescent="0.2">
      <c r="A33" s="14" t="s">
        <v>63</v>
      </c>
      <c r="B33" s="19" t="s">
        <v>24</v>
      </c>
      <c r="C33" s="108">
        <f>MIN(C31,C32)</f>
        <v>0</v>
      </c>
      <c r="D33" s="100"/>
      <c r="E33" s="108">
        <f>MIN(E31,E32)</f>
        <v>0</v>
      </c>
      <c r="F33" s="100"/>
      <c r="G33" s="108">
        <f>MIN(G31,G32)</f>
        <v>0</v>
      </c>
      <c r="H33" s="100"/>
      <c r="I33" s="108">
        <f>MIN(I31,I32)</f>
        <v>0</v>
      </c>
      <c r="J33" s="108"/>
      <c r="K33" s="108">
        <f>MIN(K31,K32)</f>
        <v>0</v>
      </c>
      <c r="L33" s="100"/>
      <c r="M33" s="25" t="s">
        <v>64</v>
      </c>
    </row>
    <row r="34" spans="1:13" x14ac:dyDescent="0.2">
      <c r="A34" s="14"/>
      <c r="B34" s="19"/>
      <c r="C34" s="106"/>
      <c r="D34" s="13"/>
      <c r="E34" s="106"/>
      <c r="F34" s="13"/>
      <c r="G34" s="106"/>
      <c r="H34" s="13"/>
      <c r="I34" s="106"/>
      <c r="J34" s="13"/>
      <c r="K34" s="13"/>
      <c r="L34" s="13"/>
      <c r="M34" s="25"/>
    </row>
    <row r="35" spans="1:13" x14ac:dyDescent="0.2">
      <c r="A35" s="15" t="s">
        <v>135</v>
      </c>
      <c r="B35" s="20"/>
      <c r="C35" s="2"/>
      <c r="D35" s="17"/>
      <c r="E35" s="2"/>
      <c r="F35" s="17"/>
      <c r="G35" s="2"/>
      <c r="H35" s="17"/>
      <c r="I35" s="2"/>
      <c r="J35" s="17"/>
      <c r="K35" s="17"/>
      <c r="L35" s="17"/>
      <c r="M35" s="25"/>
    </row>
    <row r="36" spans="1:13" x14ac:dyDescent="0.2">
      <c r="A36" s="14" t="s">
        <v>134</v>
      </c>
      <c r="B36" s="19" t="s">
        <v>46</v>
      </c>
      <c r="C36" s="109" t="e">
        <f>$C$11/C31*(1-C28)</f>
        <v>#VALUE!</v>
      </c>
      <c r="D36" s="109"/>
      <c r="E36" s="109">
        <f>IF(E33&gt;0,$C$11/E33*(1-E28),0)</f>
        <v>0</v>
      </c>
      <c r="F36" s="109"/>
      <c r="G36" s="109">
        <f t="shared" ref="G36:K36" si="4">IF(G33&gt;0,$C$11/G33*(1-G28),0)</f>
        <v>0</v>
      </c>
      <c r="H36" s="109"/>
      <c r="I36" s="109">
        <f t="shared" si="4"/>
        <v>0</v>
      </c>
      <c r="J36" s="109"/>
      <c r="K36" s="109">
        <f t="shared" si="4"/>
        <v>0</v>
      </c>
      <c r="L36" s="101"/>
      <c r="M36" s="26" t="s">
        <v>65</v>
      </c>
    </row>
    <row r="37" spans="1:13" x14ac:dyDescent="0.2">
      <c r="A37" s="14" t="s">
        <v>66</v>
      </c>
      <c r="B37" s="19" t="s">
        <v>46</v>
      </c>
      <c r="C37" s="110" t="e">
        <f>(1-C36)/($C$6-$C$5)</f>
        <v>#VALUE!</v>
      </c>
      <c r="D37" s="102"/>
      <c r="E37" s="110">
        <f t="shared" ref="E37" si="5">(1-E36)/($C$6-$C$5)</f>
        <v>9.4320046782743208E-6</v>
      </c>
      <c r="F37" s="102"/>
      <c r="G37" s="110">
        <f t="shared" ref="G37" si="6">(1-G36)/($C$6-$C$5)</f>
        <v>9.4320046782743208E-6</v>
      </c>
      <c r="H37" s="102"/>
      <c r="I37" s="110">
        <f t="shared" ref="I37:K37" si="7">(1-I36)/($C$6-$C$5)</f>
        <v>9.4320046782743208E-6</v>
      </c>
      <c r="J37" s="110"/>
      <c r="K37" s="110">
        <f t="shared" si="7"/>
        <v>9.4320046782743208E-6</v>
      </c>
      <c r="L37" s="102"/>
      <c r="M37" s="27" t="s">
        <v>67</v>
      </c>
    </row>
    <row r="38" spans="1:13" x14ac:dyDescent="0.2">
      <c r="A38" s="14"/>
      <c r="B38" s="19"/>
      <c r="C38" s="110"/>
      <c r="D38" s="102"/>
      <c r="E38" s="110"/>
      <c r="F38" s="102"/>
      <c r="G38" s="110"/>
      <c r="H38" s="102"/>
      <c r="I38" s="110"/>
      <c r="J38" s="102"/>
      <c r="K38" s="102"/>
      <c r="L38" s="102"/>
      <c r="M38" s="29"/>
    </row>
    <row r="39" spans="1:13" x14ac:dyDescent="0.2">
      <c r="A39" s="15" t="s">
        <v>68</v>
      </c>
      <c r="B39" s="20"/>
      <c r="C39" s="2"/>
      <c r="D39" s="17"/>
      <c r="E39" s="2"/>
      <c r="F39" s="17"/>
      <c r="G39" s="2"/>
      <c r="H39" s="17"/>
      <c r="I39" s="2"/>
      <c r="J39" s="17"/>
      <c r="K39" s="17"/>
      <c r="L39" s="17"/>
      <c r="M39" s="25"/>
    </row>
    <row r="40" spans="1:13" x14ac:dyDescent="0.2">
      <c r="A40" s="14" t="s">
        <v>69</v>
      </c>
      <c r="B40" s="19" t="s">
        <v>46</v>
      </c>
      <c r="C40" s="109" t="e">
        <f>IF(MIN(C36+C37*(C20-$C$5),1)&lt;0,0,MIN(C36+C37*(C20-$C$5),1))</f>
        <v>#VALUE!</v>
      </c>
      <c r="D40" s="101"/>
      <c r="E40" s="109">
        <f>IF(MIN(E36+E37*(E20-$C$5),1)&lt;0,0,MIN(E36+E37*(E20-$C$5),1))</f>
        <v>0</v>
      </c>
      <c r="F40" s="101"/>
      <c r="G40" s="109">
        <f t="shared" ref="G40" si="8">IF(MIN(G36+G37*(G20-$C$5),1)&lt;0,0,MIN(G36+G37*(G20-$C$5),1))</f>
        <v>0</v>
      </c>
      <c r="H40" s="101"/>
      <c r="I40" s="109">
        <f t="shared" ref="I40:K40" si="9">IF(MIN(I36+I37*(I20-$C$5),1)&lt;0,0,MIN(I36+I37*(I20-$C$5),1))</f>
        <v>0</v>
      </c>
      <c r="J40" s="109"/>
      <c r="K40" s="109">
        <f t="shared" si="9"/>
        <v>0</v>
      </c>
      <c r="L40" s="101"/>
      <c r="M40" s="30" t="s">
        <v>70</v>
      </c>
    </row>
    <row r="41" spans="1:13" x14ac:dyDescent="0.2">
      <c r="A41" s="14" t="s">
        <v>71</v>
      </c>
      <c r="B41" s="19" t="s">
        <v>24</v>
      </c>
      <c r="C41" s="96" t="e">
        <f>C33*C40</f>
        <v>#VALUE!</v>
      </c>
      <c r="D41" s="100"/>
      <c r="E41" s="96">
        <f t="shared" ref="E41" si="10">E33*E40</f>
        <v>0</v>
      </c>
      <c r="F41" s="100"/>
      <c r="G41" s="96">
        <f t="shared" ref="G41" si="11">G33*G40</f>
        <v>0</v>
      </c>
      <c r="H41" s="100"/>
      <c r="I41" s="96">
        <f t="shared" ref="I41:K41" si="12">I33*I40</f>
        <v>0</v>
      </c>
      <c r="J41" s="96"/>
      <c r="K41" s="96">
        <f t="shared" si="12"/>
        <v>0</v>
      </c>
      <c r="L41" s="100"/>
      <c r="M41" s="29" t="s">
        <v>72</v>
      </c>
    </row>
    <row r="42" spans="1:13" x14ac:dyDescent="0.2">
      <c r="A42" s="14"/>
      <c r="B42" s="19"/>
      <c r="C42" s="110"/>
      <c r="D42" s="102"/>
      <c r="E42" s="110"/>
      <c r="F42" s="102"/>
      <c r="G42" s="110"/>
      <c r="H42" s="102"/>
      <c r="I42" s="110"/>
      <c r="J42" s="102"/>
      <c r="K42" s="102"/>
      <c r="L42" s="102"/>
      <c r="M42" s="27"/>
    </row>
    <row r="43" spans="1:13" x14ac:dyDescent="0.2">
      <c r="A43" s="15" t="s">
        <v>73</v>
      </c>
      <c r="B43" s="20"/>
      <c r="C43" s="2"/>
      <c r="D43" s="17"/>
      <c r="E43" s="2"/>
      <c r="F43" s="17"/>
      <c r="G43" s="2"/>
      <c r="H43" s="17"/>
      <c r="I43" s="2"/>
      <c r="J43" s="17"/>
      <c r="K43" s="17"/>
      <c r="L43" s="17"/>
      <c r="M43" s="25"/>
    </row>
    <row r="44" spans="1:13" x14ac:dyDescent="0.2">
      <c r="A44" s="42" t="s">
        <v>97</v>
      </c>
      <c r="B44" s="19" t="s">
        <v>24</v>
      </c>
      <c r="C44" s="97">
        <f>IF(Beitragsrechner!F22="NUR Mittagstisch",C33*(1-C40),0)</f>
        <v>0</v>
      </c>
      <c r="D44" s="103"/>
      <c r="E44" s="97">
        <f>IF(Beitragsrechner!F31="NUR Mittagstisch",E33*(1-E40),0)</f>
        <v>0</v>
      </c>
      <c r="F44" s="103"/>
      <c r="G44" s="97">
        <f>IF(Beitragsrechner!F40="NUR Mittagtisch",G33*(1-G40),0)</f>
        <v>0</v>
      </c>
      <c r="H44" s="103"/>
      <c r="I44" s="97">
        <f>IF(Beitragsrechner!F49="NUR Mittagstisch",I33*(1-I40),0)</f>
        <v>0</v>
      </c>
      <c r="J44" s="97"/>
      <c r="K44" s="97">
        <f>IF(Beitragsrechner!F58="NUR Mittagstisch",K33*(1-K40),0)</f>
        <v>0</v>
      </c>
      <c r="L44" s="103"/>
      <c r="M44" s="28" t="s">
        <v>75</v>
      </c>
    </row>
    <row r="45" spans="1:13" x14ac:dyDescent="0.2">
      <c r="A45" t="s">
        <v>98</v>
      </c>
      <c r="B45" s="19" t="s">
        <v>24</v>
      </c>
      <c r="C45" s="96" t="e">
        <f>MAX($C$11-C41,0)</f>
        <v>#VALUE!</v>
      </c>
      <c r="D45" s="104"/>
      <c r="E45" s="96">
        <f>MAX($C$11-E41,0)</f>
        <v>7.5</v>
      </c>
      <c r="F45" s="104"/>
      <c r="G45" s="96">
        <f>MAX($C$11-G41,0)</f>
        <v>7.5</v>
      </c>
      <c r="H45" s="104"/>
      <c r="I45" s="96">
        <f>MAX($C$11-I41,0)</f>
        <v>7.5</v>
      </c>
      <c r="J45" s="96"/>
      <c r="K45" s="96">
        <f>MAX($C$11-K41,0)</f>
        <v>7.5</v>
      </c>
      <c r="L45" s="104"/>
      <c r="M45" s="56"/>
    </row>
    <row r="46" spans="1:13" x14ac:dyDescent="0.2">
      <c r="A46" s="54" t="s">
        <v>77</v>
      </c>
      <c r="B46" s="55" t="s">
        <v>24</v>
      </c>
      <c r="C46" s="98" t="e">
        <f>MAX(C44-C45,0)</f>
        <v>#VALUE!</v>
      </c>
      <c r="D46" s="103"/>
      <c r="E46" s="98">
        <f>MAX(E44-E45,0)</f>
        <v>0</v>
      </c>
      <c r="F46" s="103"/>
      <c r="G46" s="98">
        <f t="shared" ref="G46" si="13">MAX(G44-G45,0)</f>
        <v>0</v>
      </c>
      <c r="H46" s="103"/>
      <c r="I46" s="98">
        <f t="shared" ref="I46:K46" si="14">MAX(I44-I45,0)</f>
        <v>0</v>
      </c>
      <c r="J46" s="98"/>
      <c r="K46" s="98">
        <f t="shared" si="14"/>
        <v>0</v>
      </c>
      <c r="L46" s="103"/>
      <c r="M46" s="56" t="s">
        <v>78</v>
      </c>
    </row>
    <row r="47" spans="1:13" x14ac:dyDescent="0.2">
      <c r="A47" t="s">
        <v>79</v>
      </c>
      <c r="B47" s="19" t="s">
        <v>24</v>
      </c>
      <c r="C47" s="96" t="e">
        <f>C46*C25</f>
        <v>#VALUE!</v>
      </c>
      <c r="D47" s="105"/>
      <c r="E47" s="96">
        <f t="shared" ref="E47" si="15">E46*E25</f>
        <v>0</v>
      </c>
      <c r="F47" s="105"/>
      <c r="G47" s="96">
        <f t="shared" ref="G47" si="16">G46*G25</f>
        <v>0</v>
      </c>
      <c r="H47" s="105"/>
      <c r="I47" s="96">
        <f t="shared" ref="I47:K47" si="17">I46*I25</f>
        <v>0</v>
      </c>
      <c r="J47" s="96"/>
      <c r="K47" s="96">
        <f t="shared" si="17"/>
        <v>0</v>
      </c>
      <c r="L47" s="105"/>
      <c r="M47" s="57" t="s">
        <v>80</v>
      </c>
    </row>
    <row r="48" spans="1:13" x14ac:dyDescent="0.2">
      <c r="A48" t="s">
        <v>141</v>
      </c>
      <c r="B48" s="19" t="s">
        <v>24</v>
      </c>
      <c r="C48" s="133">
        <f>IF(Beitragsrechner!F22="NUR Mittagstisch",C25*(C18-C46),0)</f>
        <v>0</v>
      </c>
      <c r="D48" s="22"/>
      <c r="E48" s="133">
        <f>IF(Beitragsrechner!F31="NUR Mittagstisch",E25*(E18-E46),0)</f>
        <v>0</v>
      </c>
      <c r="F48" s="133"/>
      <c r="G48" s="133">
        <f>IF(Beitragsrechner!F40="NUR Mittagtisch",G25*(G18-G46),0)</f>
        <v>0</v>
      </c>
      <c r="H48" s="133"/>
      <c r="I48" s="133">
        <f>IF(Beitragsrechner!F49="NUR Mittagstisch",I25*(I18-I46),0)</f>
        <v>0</v>
      </c>
      <c r="J48" s="133"/>
      <c r="K48" s="133">
        <f>IF(Beitragsrechner!F58="NUR Mittagstisch",K25*(K18-K46),0)</f>
        <v>0</v>
      </c>
      <c r="L48" s="22"/>
      <c r="M48" s="134"/>
    </row>
    <row r="49" spans="1:13" x14ac:dyDescent="0.2">
      <c r="A49" s="10"/>
      <c r="B49" s="52"/>
      <c r="C49" s="94"/>
      <c r="D49" s="19"/>
      <c r="E49" s="53"/>
      <c r="F49" s="53"/>
      <c r="G49" s="53"/>
      <c r="H49" s="53"/>
      <c r="I49" s="53"/>
      <c r="J49" s="45"/>
      <c r="K49" s="45"/>
      <c r="L49" s="45"/>
      <c r="M49"/>
    </row>
    <row r="50" spans="1:13" x14ac:dyDescent="0.2">
      <c r="B50" s="19"/>
      <c r="C50" s="19"/>
      <c r="D50" s="19"/>
      <c r="E50" s="43"/>
      <c r="F50" s="43"/>
      <c r="G50" s="43"/>
      <c r="H50" s="43"/>
      <c r="I50" s="43"/>
      <c r="J50" s="45"/>
      <c r="K50" s="45"/>
      <c r="L50" s="45"/>
      <c r="M50"/>
    </row>
    <row r="51" spans="1:13" x14ac:dyDescent="0.2">
      <c r="I51" s="43"/>
    </row>
  </sheetData>
  <pageMargins left="0.7" right="0.7" top="0.78740157499999996" bottom="0.78740157499999996"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workbookViewId="0">
      <selection activeCell="B23" sqref="B23"/>
    </sheetView>
  </sheetViews>
  <sheetFormatPr baseColWidth="10" defaultRowHeight="12.75" x14ac:dyDescent="0.2"/>
  <cols>
    <col min="1" max="1" width="21.5703125" bestFit="1" customWidth="1"/>
    <col min="2" max="2" width="15.5703125" customWidth="1"/>
  </cols>
  <sheetData>
    <row r="2" spans="1:2" x14ac:dyDescent="0.2">
      <c r="A2" t="s">
        <v>150</v>
      </c>
      <c r="B2" t="s">
        <v>160</v>
      </c>
    </row>
    <row r="4" spans="1:2" x14ac:dyDescent="0.2">
      <c r="A4" t="s">
        <v>144</v>
      </c>
      <c r="B4" t="s">
        <v>153</v>
      </c>
    </row>
    <row r="5" spans="1:2" x14ac:dyDescent="0.2">
      <c r="A5" t="s">
        <v>144</v>
      </c>
      <c r="B5" t="s">
        <v>148</v>
      </c>
    </row>
    <row r="6" spans="1:2" x14ac:dyDescent="0.2">
      <c r="A6" t="s">
        <v>144</v>
      </c>
      <c r="B6" t="s">
        <v>159</v>
      </c>
    </row>
    <row r="9" spans="1:2" x14ac:dyDescent="0.2">
      <c r="A9" t="s">
        <v>155</v>
      </c>
      <c r="B9" t="s">
        <v>156</v>
      </c>
    </row>
    <row r="10" spans="1:2" x14ac:dyDescent="0.2">
      <c r="A10" t="s">
        <v>155</v>
      </c>
      <c r="B10" t="s">
        <v>158</v>
      </c>
    </row>
    <row r="12" spans="1:2" x14ac:dyDescent="0.2">
      <c r="A12" t="s">
        <v>149</v>
      </c>
      <c r="B12" t="s">
        <v>146</v>
      </c>
    </row>
    <row r="13" spans="1:2" x14ac:dyDescent="0.2">
      <c r="A13" t="s">
        <v>149</v>
      </c>
      <c r="B13" t="s">
        <v>151</v>
      </c>
    </row>
    <row r="18" spans="1:2" x14ac:dyDescent="0.2">
      <c r="A18" s="184" t="s">
        <v>168</v>
      </c>
    </row>
    <row r="19" spans="1:2" x14ac:dyDescent="0.2">
      <c r="A19" t="s">
        <v>169</v>
      </c>
      <c r="B19" t="s">
        <v>170</v>
      </c>
    </row>
    <row r="20" spans="1:2" x14ac:dyDescent="0.2">
      <c r="B20" t="s">
        <v>171</v>
      </c>
    </row>
    <row r="22" spans="1:2" x14ac:dyDescent="0.2">
      <c r="A22" t="s">
        <v>169</v>
      </c>
      <c r="B22" t="s">
        <v>186</v>
      </c>
    </row>
    <row r="26" spans="1:2" x14ac:dyDescent="0.2">
      <c r="A26" t="s">
        <v>164</v>
      </c>
    </row>
    <row r="27" spans="1:2" x14ac:dyDescent="0.2">
      <c r="A27" t="s">
        <v>162</v>
      </c>
    </row>
    <row r="28" spans="1:2" x14ac:dyDescent="0.2">
      <c r="A28" t="s">
        <v>165</v>
      </c>
    </row>
    <row r="29" spans="1:2" x14ac:dyDescent="0.2">
      <c r="A29" s="183" t="s">
        <v>166</v>
      </c>
    </row>
    <row r="30" spans="1:2" x14ac:dyDescent="0.2">
      <c r="A30" t="s">
        <v>167</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5df0d9a-b115-40a4-96c1-9261dc1f94e8" xsi:nil="true"/>
    <lcf76f155ced4ddcb4097134ff3c332f xmlns="e75f3433-8aaf-490c-ac14-ce7c4a59cc8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3276589E4DD3244805DFD77C66FC028" ma:contentTypeVersion="12" ma:contentTypeDescription="Ein neues Dokument erstellen." ma:contentTypeScope="" ma:versionID="747b29f9096555bb7a6a630bef80dbf3">
  <xsd:schema xmlns:xsd="http://www.w3.org/2001/XMLSchema" xmlns:xs="http://www.w3.org/2001/XMLSchema" xmlns:p="http://schemas.microsoft.com/office/2006/metadata/properties" xmlns:ns2="e75f3433-8aaf-490c-ac14-ce7c4a59cc8d" xmlns:ns3="55df0d9a-b115-40a4-96c1-9261dc1f94e8" targetNamespace="http://schemas.microsoft.com/office/2006/metadata/properties" ma:root="true" ma:fieldsID="f57a59ed85bee49fb68b37b08f736b08" ns2:_="" ns3:_="">
    <xsd:import namespace="e75f3433-8aaf-490c-ac14-ce7c4a59cc8d"/>
    <xsd:import namespace="55df0d9a-b115-40a4-96c1-9261dc1f94e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5f3433-8aaf-490c-ac14-ce7c4a59cc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50a6da6f-5015-4d01-9cd4-c21afb5d427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df0d9a-b115-40a4-96c1-9261dc1f94e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00add4a-7367-4294-b1be-48b13e0a2d2c}" ma:internalName="TaxCatchAll" ma:showField="CatchAllData" ma:web="55df0d9a-b115-40a4-96c1-9261dc1f94e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99B0FC-FBA5-42DC-96EF-7247A4C81FE5}">
  <ds:schemaRefs>
    <ds:schemaRef ds:uri="http://schemas.microsoft.com/office/infopath/2007/PartnerControls"/>
    <ds:schemaRef ds:uri="http://purl.org/dc/elements/1.1/"/>
    <ds:schemaRef ds:uri="http://schemas.microsoft.com/office/2006/metadata/properties"/>
    <ds:schemaRef ds:uri="55df0d9a-b115-40a4-96c1-9261dc1f94e8"/>
    <ds:schemaRef ds:uri="http://purl.org/dc/terms/"/>
    <ds:schemaRef ds:uri="e75f3433-8aaf-490c-ac14-ce7c4a59cc8d"/>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5464FD0-A5EF-476C-B300-42A384B80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5f3433-8aaf-490c-ac14-ce7c4a59cc8d"/>
    <ds:schemaRef ds:uri="55df0d9a-b115-40a4-96c1-9261dc1f94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64838B-8D57-4066-96FF-6A6B07F72729}">
  <ds:schemaRefs>
    <ds:schemaRef ds:uri="http://schemas.microsoft.com/sharepoint/v3/contenttype/forms"/>
  </ds:schemaRefs>
</ds:datastoreItem>
</file>

<file path=docMetadata/LabelInfo.xml><?xml version="1.0" encoding="utf-8"?>
<clbl:labelList xmlns:clbl="http://schemas.microsoft.com/office/2020/mipLabelMetadata">
  <clbl:label id="{4a6500c8-aece-4f95-9ff4-aa2f25229e5c}" enabled="0" method="" siteId="{4a6500c8-aece-4f95-9ff4-aa2f25229e5c}"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Beitragsrechner</vt:lpstr>
      <vt:lpstr>Berechnung Einkommen</vt:lpstr>
      <vt:lpstr>Rechner Kita SE</vt:lpstr>
      <vt:lpstr>Rechner TFO</vt:lpstr>
      <vt:lpstr>Rechner Mittagstisch</vt:lpstr>
      <vt:lpstr>Anpassungen</vt:lpstr>
      <vt:lpstr>'Rechner Kita SE'!Druckbereich</vt:lpstr>
      <vt:lpstr>'Rechner Mittagstisch'!Druckbereich</vt:lpstr>
      <vt:lpstr>'Rechner TFO'!Druckbereich</vt:lpstr>
    </vt:vector>
  </TitlesOfParts>
  <Manager/>
  <Company>Stadt Luzern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Eggerschwiler Simone</dc:creator>
  <cp:keywords/>
  <dc:description/>
  <cp:lastModifiedBy>Manuel Meierhofer</cp:lastModifiedBy>
  <cp:revision/>
  <cp:lastPrinted>2024-03-25T07:34:53Z</cp:lastPrinted>
  <dcterms:created xsi:type="dcterms:W3CDTF">2017-04-25T13:52:15Z</dcterms:created>
  <dcterms:modified xsi:type="dcterms:W3CDTF">2024-03-26T15:59:25Z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y fmtid="{D5CDD505-2E9C-101B-9397-08002B2CF9AE}" pid="3" name="ContentTypeId">
    <vt:lpwstr>0x010100D3276589E4DD3244805DFD77C66FC028</vt:lpwstr>
  </property>
  <property fmtid="{D5CDD505-2E9C-101B-9397-08002B2CF9AE}" pid="4" name="MediaServiceImageTags">
    <vt:lpwstr/>
  </property>
</Properties>
</file>